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omments13.xml" ContentType="application/vnd.openxmlformats-officedocument.spreadsheetml.comments+xml"/>
  <Override PartName="/xl/comments14.xml" ContentType="application/vnd.openxmlformats-officedocument.spreadsheetml.comments+xml"/>
  <Override PartName="/xl/comments15.xml" ContentType="application/vnd.openxmlformats-officedocument.spreadsheetml.comments+xml"/>
  <Override PartName="/xl/comments16.xml" ContentType="application/vnd.openxmlformats-officedocument.spreadsheetml.comments+xml"/>
  <Override PartName="/xl/comments17.xml" ContentType="application/vnd.openxmlformats-officedocument.spreadsheetml.comments+xml"/>
  <Override PartName="/xl/comments18.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defaultThemeVersion="124226"/>
  <mc:AlternateContent xmlns:mc="http://schemas.openxmlformats.org/markup-compatibility/2006">
    <mc:Choice Requires="x15">
      <x15ac:absPath xmlns:x15ac="http://schemas.microsoft.com/office/spreadsheetml/2010/11/ac" url="C:\Users\caguirre\Documents\Documents\2017\CAEFP\2016\V7\CAEFP\2016\"/>
    </mc:Choice>
  </mc:AlternateContent>
  <workbookProtection lockStructure="1"/>
  <bookViews>
    <workbookView xWindow="0" yWindow="0" windowWidth="19200" windowHeight="11595" tabRatio="882" firstSheet="2" activeTab="6"/>
  </bookViews>
  <sheets>
    <sheet name="Leame" sheetId="24" r:id="rId1"/>
    <sheet name="Coverpage" sheetId="1" r:id="rId2"/>
    <sheet name="StatementI" sheetId="2" r:id="rId3"/>
    <sheet name="StatementII" sheetId="3" r:id="rId4"/>
    <sheet name="StatementIII" sheetId="4" r:id="rId5"/>
    <sheet name="StatementIV" sheetId="5" r:id="rId6"/>
    <sheet name="Table1" sheetId="6" r:id="rId7"/>
    <sheet name="Table2" sheetId="7" r:id="rId8"/>
    <sheet name="Table3" sheetId="8" r:id="rId9"/>
    <sheet name="Table4" sheetId="9" r:id="rId10"/>
    <sheet name="Table5" sheetId="10" r:id="rId11"/>
    <sheet name="Table6" sheetId="11" r:id="rId12"/>
    <sheet name="Table6A" sheetId="12" r:id="rId13"/>
    <sheet name="Table6B" sheetId="13" r:id="rId14"/>
    <sheet name="Table7" sheetId="14" r:id="rId15"/>
    <sheet name="Table8A" sheetId="15" r:id="rId16"/>
    <sheet name="Table8B" sheetId="16" r:id="rId17"/>
    <sheet name="Table9" sheetId="17" r:id="rId18"/>
    <sheet name="Annex1" sheetId="18" state="hidden" r:id="rId19"/>
    <sheet name="Annex2" sheetId="19" state="hidden" r:id="rId20"/>
    <sheet name="Consolidation Checks" sheetId="20" state="hidden" r:id="rId21"/>
    <sheet name="OtherThanCashData Checks Report" sheetId="21" state="hidden" r:id="rId22"/>
    <sheet name="Cash Data Checks Report" sheetId="22" state="hidden" r:id="rId23"/>
    <sheet name="Report Form" sheetId="23" state="hidden" r:id="rId24"/>
  </sheets>
  <definedNames>
    <definedName name="_xlnm.Print_Area" localSheetId="18">Annex1!$P$1:$X$154</definedName>
    <definedName name="_xlnm.Print_Area" localSheetId="19">Annex2!$A$1:$E$98</definedName>
    <definedName name="_xlnm.Print_Area" localSheetId="22">'Cash Data Checks Report'!$A$1:$O$46</definedName>
    <definedName name="_xlnm.Print_Area" localSheetId="1">Coverpage!$A$1:$S$41</definedName>
    <definedName name="_xlnm.Print_Area" localSheetId="21">'OtherThanCashData Checks Report'!$A$1:$O$46</definedName>
    <definedName name="_xlnm.Print_Area" localSheetId="2">StatementI!$A$1:$M$45</definedName>
    <definedName name="_xlnm.Print_Area" localSheetId="3">StatementII!$B$1:$N$43</definedName>
    <definedName name="_xlnm.Print_Area" localSheetId="4">StatementIII!$A$1:$M$37</definedName>
    <definedName name="_xlnm.Print_Area" localSheetId="5">StatementIV!$A$1:$M$25</definedName>
    <definedName name="_xlnm.Print_Area" localSheetId="6">Table1!$B$1:$N$114</definedName>
    <definedName name="_xlnm.Print_Area" localSheetId="7">Table2!$B$1:$N$80</definedName>
    <definedName name="_xlnm.Print_Area" localSheetId="8">Table3!$B$1:$N$99</definedName>
    <definedName name="_xlnm.Print_Area" localSheetId="9">Table4!$B$1:$N$41</definedName>
    <definedName name="_xlnm.Print_Area" localSheetId="10">Table5!$B$1:$N$41</definedName>
    <definedName name="_xlnm.Print_Area" localSheetId="11">Table6!$B$1:$N$115</definedName>
    <definedName name="_xlnm.Print_Area" localSheetId="12">Table6A!$B$1:$N$83</definedName>
    <definedName name="_xlnm.Print_Area" localSheetId="13">Table6B!$B$1:$N$71</definedName>
    <definedName name="_xlnm.Print_Area" localSheetId="14">Table7!$B$1:$N$88</definedName>
    <definedName name="_xlnm.Print_Area" localSheetId="15">Table8A!$B$1:$N$45</definedName>
    <definedName name="_xlnm.Print_Area" localSheetId="16">Table8B!$B$1:$N$45</definedName>
    <definedName name="_xlnm.Print_Area" localSheetId="17">Table9!$B$1:$N$41</definedName>
    <definedName name="DATA_ANNEX_1">Annex1!$E$9:$N$14,Annex1!$E$16:$N$21,Annex1!$E$43:$N$48,Annex1!$E$50:$N$55,Annex1!$E$60:$N$65,Annex1!$E$67:$N$72,Annex1!$E$94:$N$99,Annex1!$E$101:$N$106,Annex1!$E$111:$N$116,Annex1!$E$118:$N$123,Annex1!$E$129:$N$134,Annex1!$E$136:$N$141,Annex1!$E$146:$N$151,Annex1!$E$153:$N$158</definedName>
    <definedName name="DATA_STATEMENT_II">StatementII!$E$9:$N$22,StatementII!$E$24:$N$30,StatementII!$E$32:$N$40,StatementII!$E$42:$N$43</definedName>
    <definedName name="DATA_TABLE_1">Table1!$E$8:$N$89,Table1!$E$92:$M$93,Table1!$E$95:$N$100,Table1!$N$92:$N$93,Table1!$E$102:$N$107,Table1!$E$109:$N$114</definedName>
    <definedName name="DATA_TABLE_2">Table2!$E$8:$N$53,Table2!$E$56:$N$57,Table2!$E$59:$N$66,Table2!$E$68:$N$73,Table2!$E$75:$N$80</definedName>
    <definedName name="DATA_TABLE_3">Table3!$E$8:$N$79,Table3!$E$81:$N$99</definedName>
    <definedName name="DATA_TABLE_4">Table4!$E$8:$N$35,Table4!$E$37:$N$41</definedName>
    <definedName name="DATA_TABLE_5">Table5!$E$8:$N$35,Table5!$E$37:$N$41</definedName>
    <definedName name="DATA_TABLE_6">Table6!$E$8:$N$31,Table6!$E$33:$N$79,Table6!$E$81:$N$81,Table6!$E$83:$N$101,Table6!$E$103:$N$106,Table6!$E$108:$N$115</definedName>
    <definedName name="DATA_TABLE_6A">Table6A!$E$8:$N$8,Table6A!$E$10:$N$10,Table6A!$E$13:$N$13,Table6A!$E$15:$N$15,Table6A!$E$17:$N$83</definedName>
    <definedName name="DATA_TABLE_6B">Table6B!$E$8:$N$8,Table6B!$E$10:$N$10,Table6B!$E$13:$N$13,Table6B!$E$15:$N$15,Table6B!$E$17:$N$71</definedName>
    <definedName name="DATA_TABLE_7">Table7!$E$8:$N$87</definedName>
    <definedName name="DATA_TABLE_8A">Table8A!$E$10:$N$21,Table8A!$E$23:$N$26,Table8A!$E$29:$N$40,Table8A!$E$42:$N$45</definedName>
    <definedName name="DATA_TABLE_8B">Table8B!$E$10:$N$21,Table8B!$E$23:$N$26,Table8B!$E$29:$N$40,Table8B!$E$42:$N$45</definedName>
    <definedName name="DATA_TABLE_9">Table9!$E$8:$N$35,Table9!$E$37:$N$41</definedName>
    <definedName name="METADATA_COVERPAGE_1">Coverpage!$I$11:$I$12,Coverpage!$I$14:$I$15,Coverpage!$I$17:$I$22</definedName>
    <definedName name="METADATA_COVERPAGE_2">Coverpage!$I$27:$P$35</definedName>
    <definedName name="Report_Version_Number">'Report Form'!$A$3</definedName>
    <definedName name="Report_Version_Tag">'Report Form'!$A$1</definedName>
    <definedName name="Reporting_Alternate_Sender_Email">Coverpage!$I$21</definedName>
    <definedName name="Reporting_Alternate_Sender_Name">Coverpage!$I$20</definedName>
    <definedName name="Reporting_Compiling_Organization">Coverpage!$I$17</definedName>
    <definedName name="Reporting_Country_Code">Coverpage!$I$9</definedName>
    <definedName name="Reporting_Country_Fiscal_End_Day">Coverpage!$I$12</definedName>
    <definedName name="Reporting_Country_Fiscal_End_Month">Coverpage!$I$11</definedName>
    <definedName name="Reporting_Country_Name">Coverpage!$I$8</definedName>
    <definedName name="Reporting_Currency_Blank">Coverpage!$U$14</definedName>
    <definedName name="Reporting_Currency_Code">Coverpage!$U$12</definedName>
    <definedName name="Reporting_Currency_Name">Coverpage!$I$13</definedName>
    <definedName name="Reporting_Date">Coverpage!$I$22</definedName>
    <definedName name="Reporting_Period_Code">Coverpage!$I$10</definedName>
    <definedName name="Reporting_Period_Std_Code">Coverpage!$U$10</definedName>
    <definedName name="Reporting_Scale_Name">Coverpage!$I$15</definedName>
    <definedName name="Reporting_Sender_Email">Coverpage!$I$19</definedName>
    <definedName name="Reporting_Sender_Name">Coverpage!$I$18</definedName>
    <definedName name="_xlnm.Print_Titles" localSheetId="18">Annex1!$1:$3</definedName>
    <definedName name="_xlnm.Print_Titles" localSheetId="2">StatementI!$1:$6</definedName>
    <definedName name="_xlnm.Print_Titles" localSheetId="3">StatementII!$1:$7</definedName>
    <definedName name="_xlnm.Print_Titles" localSheetId="5">StatementIV!$1:$6</definedName>
    <definedName name="_xlnm.Print_Titles" localSheetId="6">Table1!$1:$7</definedName>
    <definedName name="_xlnm.Print_Titles" localSheetId="7">Table2!$1:$7</definedName>
    <definedName name="_xlnm.Print_Titles" localSheetId="8">Table3!$1:$7</definedName>
    <definedName name="_xlnm.Print_Titles" localSheetId="9">Table4!$1:$7</definedName>
    <definedName name="_xlnm.Print_Titles" localSheetId="10">Table5!$1:$7</definedName>
    <definedName name="_xlnm.Print_Titles" localSheetId="11">Table6!$1:$7</definedName>
    <definedName name="_xlnm.Print_Titles" localSheetId="12">Table6A!$1:$7</definedName>
    <definedName name="_xlnm.Print_Titles" localSheetId="14">Table7!$1:$7</definedName>
    <definedName name="_xlnm.Print_Titles" localSheetId="17">Table9!$1:$7</definedName>
    <definedName name="Z_C3088B2E_F853_4D7E_B687_C6500891DFCB_.wvu.PrintArea" localSheetId="18" hidden="1">Annex1!$P$1:$X$154</definedName>
    <definedName name="Z_C3088B2E_F853_4D7E_B687_C6500891DFCB_.wvu.PrintArea" localSheetId="19" hidden="1">Annex2!$A$1:$E$98</definedName>
    <definedName name="Z_C3088B2E_F853_4D7E_B687_C6500891DFCB_.wvu.PrintArea" localSheetId="22" hidden="1">'Cash Data Checks Report'!$A$1:$O$46</definedName>
    <definedName name="Z_C3088B2E_F853_4D7E_B687_C6500891DFCB_.wvu.PrintArea" localSheetId="1" hidden="1">Coverpage!$A$1:$S$41</definedName>
    <definedName name="Z_C3088B2E_F853_4D7E_B687_C6500891DFCB_.wvu.PrintArea" localSheetId="21" hidden="1">'OtherThanCashData Checks Report'!$A$1:$O$46</definedName>
    <definedName name="Z_C3088B2E_F853_4D7E_B687_C6500891DFCB_.wvu.PrintArea" localSheetId="2" hidden="1">StatementI!$A$1:$M$45</definedName>
    <definedName name="Z_C3088B2E_F853_4D7E_B687_C6500891DFCB_.wvu.PrintArea" localSheetId="3" hidden="1">StatementII!$B$1:$N$43</definedName>
    <definedName name="Z_C3088B2E_F853_4D7E_B687_C6500891DFCB_.wvu.PrintArea" localSheetId="4" hidden="1">StatementIII!$A$1:$M$37</definedName>
    <definedName name="Z_C3088B2E_F853_4D7E_B687_C6500891DFCB_.wvu.PrintArea" localSheetId="5" hidden="1">StatementIV!$A$1:$M$25</definedName>
    <definedName name="Z_C3088B2E_F853_4D7E_B687_C6500891DFCB_.wvu.PrintArea" localSheetId="6" hidden="1">Table1!$B$1:$N$114</definedName>
    <definedName name="Z_C3088B2E_F853_4D7E_B687_C6500891DFCB_.wvu.PrintArea" localSheetId="7" hidden="1">Table2!$B$1:$N$80</definedName>
    <definedName name="Z_C3088B2E_F853_4D7E_B687_C6500891DFCB_.wvu.PrintArea" localSheetId="8" hidden="1">Table3!$B$1:$N$99</definedName>
    <definedName name="Z_C3088B2E_F853_4D7E_B687_C6500891DFCB_.wvu.PrintArea" localSheetId="9" hidden="1">Table4!$B$1:$N$41</definedName>
    <definedName name="Z_C3088B2E_F853_4D7E_B687_C6500891DFCB_.wvu.PrintArea" localSheetId="10" hidden="1">Table5!$B$1:$N$41</definedName>
    <definedName name="Z_C3088B2E_F853_4D7E_B687_C6500891DFCB_.wvu.PrintArea" localSheetId="11" hidden="1">Table6!$B$1:$N$115</definedName>
    <definedName name="Z_C3088B2E_F853_4D7E_B687_C6500891DFCB_.wvu.PrintArea" localSheetId="12" hidden="1">Table6A!$B$1:$N$83</definedName>
    <definedName name="Z_C3088B2E_F853_4D7E_B687_C6500891DFCB_.wvu.PrintArea" localSheetId="13" hidden="1">Table6B!$B$1:$N$71</definedName>
    <definedName name="Z_C3088B2E_F853_4D7E_B687_C6500891DFCB_.wvu.PrintArea" localSheetId="14" hidden="1">Table7!$B$1:$N$88</definedName>
    <definedName name="Z_C3088B2E_F853_4D7E_B687_C6500891DFCB_.wvu.PrintArea" localSheetId="15" hidden="1">Table8A!$B$1:$N$45</definedName>
    <definedName name="Z_C3088B2E_F853_4D7E_B687_C6500891DFCB_.wvu.PrintArea" localSheetId="16" hidden="1">Table8B!$B$1:$N$45</definedName>
    <definedName name="Z_C3088B2E_F853_4D7E_B687_C6500891DFCB_.wvu.PrintArea" localSheetId="17" hidden="1">Table9!$B$1:$N$41</definedName>
    <definedName name="Z_C3088B2E_F853_4D7E_B687_C6500891DFCB_.wvu.PrintTitles" localSheetId="18" hidden="1">Annex1!$1:$3</definedName>
    <definedName name="Z_C3088B2E_F853_4D7E_B687_C6500891DFCB_.wvu.PrintTitles" localSheetId="2" hidden="1">StatementI!$1:$6</definedName>
    <definedName name="Z_C3088B2E_F853_4D7E_B687_C6500891DFCB_.wvu.PrintTitles" localSheetId="3" hidden="1">StatementII!$1:$7</definedName>
    <definedName name="Z_C3088B2E_F853_4D7E_B687_C6500891DFCB_.wvu.PrintTitles" localSheetId="5" hidden="1">StatementIV!$1:$6</definedName>
    <definedName name="Z_C3088B2E_F853_4D7E_B687_C6500891DFCB_.wvu.PrintTitles" localSheetId="6" hidden="1">Table1!$1:$7</definedName>
    <definedName name="Z_C3088B2E_F853_4D7E_B687_C6500891DFCB_.wvu.PrintTitles" localSheetId="7" hidden="1">Table2!$1:$7</definedName>
    <definedName name="Z_C3088B2E_F853_4D7E_B687_C6500891DFCB_.wvu.PrintTitles" localSheetId="8" hidden="1">Table3!$1:$7</definedName>
    <definedName name="Z_C3088B2E_F853_4D7E_B687_C6500891DFCB_.wvu.PrintTitles" localSheetId="9" hidden="1">Table4!$1:$7</definedName>
    <definedName name="Z_C3088B2E_F853_4D7E_B687_C6500891DFCB_.wvu.PrintTitles" localSheetId="10" hidden="1">Table5!$1:$7</definedName>
    <definedName name="Z_C3088B2E_F853_4D7E_B687_C6500891DFCB_.wvu.PrintTitles" localSheetId="11" hidden="1">Table6!$1:$7</definedName>
    <definedName name="Z_C3088B2E_F853_4D7E_B687_C6500891DFCB_.wvu.PrintTitles" localSheetId="12" hidden="1">Table6A!$1:$7</definedName>
    <definedName name="Z_C3088B2E_F853_4D7E_B687_C6500891DFCB_.wvu.PrintTitles" localSheetId="14" hidden="1">Table7!$1:$7</definedName>
    <definedName name="Z_C3088B2E_F853_4D7E_B687_C6500891DFCB_.wvu.PrintTitles" localSheetId="17" hidden="1">Table9!$1:$7</definedName>
    <definedName name="Z_C3088B2E_F853_4D7E_B687_C6500891DFCB_.wvu.Rows" localSheetId="19" hidden="1">Annex2!$100:$122</definedName>
    <definedName name="Z_D66484CB_9D53_43A1_A83D_11534BC40BF6_.wvu.PrintArea" localSheetId="18" hidden="1">Annex1!$P$1:$X$154</definedName>
    <definedName name="Z_D66484CB_9D53_43A1_A83D_11534BC40BF6_.wvu.PrintArea" localSheetId="19" hidden="1">Annex2!$A$1:$E$98</definedName>
    <definedName name="Z_D66484CB_9D53_43A1_A83D_11534BC40BF6_.wvu.PrintArea" localSheetId="22" hidden="1">'Cash Data Checks Report'!$A$1:$O$46</definedName>
    <definedName name="Z_D66484CB_9D53_43A1_A83D_11534BC40BF6_.wvu.PrintArea" localSheetId="1" hidden="1">Coverpage!$A$1:$S$41</definedName>
    <definedName name="Z_D66484CB_9D53_43A1_A83D_11534BC40BF6_.wvu.PrintArea" localSheetId="21" hidden="1">'OtherThanCashData Checks Report'!$A$1:$O$46</definedName>
    <definedName name="Z_D66484CB_9D53_43A1_A83D_11534BC40BF6_.wvu.PrintArea" localSheetId="2" hidden="1">StatementI!$A$1:$M$45</definedName>
    <definedName name="Z_D66484CB_9D53_43A1_A83D_11534BC40BF6_.wvu.PrintArea" localSheetId="3" hidden="1">StatementII!$B$1:$N$43</definedName>
    <definedName name="Z_D66484CB_9D53_43A1_A83D_11534BC40BF6_.wvu.PrintArea" localSheetId="4" hidden="1">StatementIII!$A$1:$M$37</definedName>
    <definedName name="Z_D66484CB_9D53_43A1_A83D_11534BC40BF6_.wvu.PrintArea" localSheetId="5" hidden="1">StatementIV!$A$1:$M$25</definedName>
    <definedName name="Z_D66484CB_9D53_43A1_A83D_11534BC40BF6_.wvu.PrintArea" localSheetId="6" hidden="1">Table1!$B$1:$N$114</definedName>
    <definedName name="Z_D66484CB_9D53_43A1_A83D_11534BC40BF6_.wvu.PrintArea" localSheetId="7" hidden="1">Table2!$B$1:$N$80</definedName>
    <definedName name="Z_D66484CB_9D53_43A1_A83D_11534BC40BF6_.wvu.PrintArea" localSheetId="8" hidden="1">Table3!$B$1:$N$99</definedName>
    <definedName name="Z_D66484CB_9D53_43A1_A83D_11534BC40BF6_.wvu.PrintArea" localSheetId="9" hidden="1">Table4!$B$1:$N$41</definedName>
    <definedName name="Z_D66484CB_9D53_43A1_A83D_11534BC40BF6_.wvu.PrintArea" localSheetId="10" hidden="1">Table5!$B$1:$N$41</definedName>
    <definedName name="Z_D66484CB_9D53_43A1_A83D_11534BC40BF6_.wvu.PrintArea" localSheetId="11" hidden="1">Table6!$B$1:$N$115</definedName>
    <definedName name="Z_D66484CB_9D53_43A1_A83D_11534BC40BF6_.wvu.PrintArea" localSheetId="12" hidden="1">Table6A!$B$1:$N$83</definedName>
    <definedName name="Z_D66484CB_9D53_43A1_A83D_11534BC40BF6_.wvu.PrintArea" localSheetId="13" hidden="1">Table6B!$B$1:$N$71</definedName>
    <definedName name="Z_D66484CB_9D53_43A1_A83D_11534BC40BF6_.wvu.PrintArea" localSheetId="14" hidden="1">Table7!$B$1:$N$88</definedName>
    <definedName name="Z_D66484CB_9D53_43A1_A83D_11534BC40BF6_.wvu.PrintArea" localSheetId="15" hidden="1">Table8A!$B$1:$N$45</definedName>
    <definedName name="Z_D66484CB_9D53_43A1_A83D_11534BC40BF6_.wvu.PrintArea" localSheetId="16" hidden="1">Table8B!$B$1:$N$45</definedName>
    <definedName name="Z_D66484CB_9D53_43A1_A83D_11534BC40BF6_.wvu.PrintArea" localSheetId="17" hidden="1">Table9!$B$1:$N$41</definedName>
    <definedName name="Z_D66484CB_9D53_43A1_A83D_11534BC40BF6_.wvu.PrintTitles" localSheetId="18" hidden="1">Annex1!$1:$3</definedName>
    <definedName name="Z_D66484CB_9D53_43A1_A83D_11534BC40BF6_.wvu.PrintTitles" localSheetId="2" hidden="1">StatementI!$1:$6</definedName>
    <definedName name="Z_D66484CB_9D53_43A1_A83D_11534BC40BF6_.wvu.PrintTitles" localSheetId="3" hidden="1">StatementII!$1:$7</definedName>
    <definedName name="Z_D66484CB_9D53_43A1_A83D_11534BC40BF6_.wvu.PrintTitles" localSheetId="5" hidden="1">StatementIV!$1:$6</definedName>
    <definedName name="Z_D66484CB_9D53_43A1_A83D_11534BC40BF6_.wvu.PrintTitles" localSheetId="6" hidden="1">Table1!$1:$7</definedName>
    <definedName name="Z_D66484CB_9D53_43A1_A83D_11534BC40BF6_.wvu.PrintTitles" localSheetId="7" hidden="1">Table2!$1:$7</definedName>
    <definedName name="Z_D66484CB_9D53_43A1_A83D_11534BC40BF6_.wvu.PrintTitles" localSheetId="8" hidden="1">Table3!$1:$7</definedName>
    <definedName name="Z_D66484CB_9D53_43A1_A83D_11534BC40BF6_.wvu.PrintTitles" localSheetId="9" hidden="1">Table4!$1:$7</definedName>
    <definedName name="Z_D66484CB_9D53_43A1_A83D_11534BC40BF6_.wvu.PrintTitles" localSheetId="10" hidden="1">Table5!$1:$7</definedName>
    <definedName name="Z_D66484CB_9D53_43A1_A83D_11534BC40BF6_.wvu.PrintTitles" localSheetId="11" hidden="1">Table6!$1:$7</definedName>
    <definedName name="Z_D66484CB_9D53_43A1_A83D_11534BC40BF6_.wvu.PrintTitles" localSheetId="12" hidden="1">Table6A!$1:$7</definedName>
    <definedName name="Z_D66484CB_9D53_43A1_A83D_11534BC40BF6_.wvu.PrintTitles" localSheetId="14" hidden="1">Table7!$1:$7</definedName>
    <definedName name="Z_D66484CB_9D53_43A1_A83D_11534BC40BF6_.wvu.PrintTitles" localSheetId="17" hidden="1">Table9!$1:$7</definedName>
    <definedName name="Z_D66484CB_9D53_43A1_A83D_11534BC40BF6_.wvu.Rows" localSheetId="19" hidden="1">Annex2!$100:$122</definedName>
    <definedName name="Z_F866C9B2_56BF_4FE4_B270_CC8FE15A5892_.wvu.PrintArea" localSheetId="18" hidden="1">Annex1!$P$1:$X$154</definedName>
    <definedName name="Z_F866C9B2_56BF_4FE4_B270_CC8FE15A5892_.wvu.PrintArea" localSheetId="19" hidden="1">Annex2!$A$1:$E$98</definedName>
    <definedName name="Z_F866C9B2_56BF_4FE4_B270_CC8FE15A5892_.wvu.PrintArea" localSheetId="22" hidden="1">'Cash Data Checks Report'!$A$1:$O$46</definedName>
    <definedName name="Z_F866C9B2_56BF_4FE4_B270_CC8FE15A5892_.wvu.PrintArea" localSheetId="1" hidden="1">Coverpage!$A$1:$S$41</definedName>
    <definedName name="Z_F866C9B2_56BF_4FE4_B270_CC8FE15A5892_.wvu.PrintArea" localSheetId="21" hidden="1">'OtherThanCashData Checks Report'!$A$1:$O$46</definedName>
    <definedName name="Z_F866C9B2_56BF_4FE4_B270_CC8FE15A5892_.wvu.PrintArea" localSheetId="2" hidden="1">StatementI!$A$1:$M$45</definedName>
    <definedName name="Z_F866C9B2_56BF_4FE4_B270_CC8FE15A5892_.wvu.PrintArea" localSheetId="3" hidden="1">StatementII!$B$1:$N$43</definedName>
    <definedName name="Z_F866C9B2_56BF_4FE4_B270_CC8FE15A5892_.wvu.PrintArea" localSheetId="4" hidden="1">StatementIII!$A$1:$M$37</definedName>
    <definedName name="Z_F866C9B2_56BF_4FE4_B270_CC8FE15A5892_.wvu.PrintArea" localSheetId="5" hidden="1">StatementIV!$A$1:$M$25</definedName>
    <definedName name="Z_F866C9B2_56BF_4FE4_B270_CC8FE15A5892_.wvu.PrintArea" localSheetId="6" hidden="1">Table1!$B$1:$N$114</definedName>
    <definedName name="Z_F866C9B2_56BF_4FE4_B270_CC8FE15A5892_.wvu.PrintArea" localSheetId="7" hidden="1">Table2!$B$1:$N$80</definedName>
    <definedName name="Z_F866C9B2_56BF_4FE4_B270_CC8FE15A5892_.wvu.PrintArea" localSheetId="8" hidden="1">Table3!$B$1:$N$99</definedName>
    <definedName name="Z_F866C9B2_56BF_4FE4_B270_CC8FE15A5892_.wvu.PrintArea" localSheetId="9" hidden="1">Table4!$B$1:$N$41</definedName>
    <definedName name="Z_F866C9B2_56BF_4FE4_B270_CC8FE15A5892_.wvu.PrintArea" localSheetId="10" hidden="1">Table5!$B$1:$N$41</definedName>
    <definedName name="Z_F866C9B2_56BF_4FE4_B270_CC8FE15A5892_.wvu.PrintArea" localSheetId="11" hidden="1">Table6!$B$1:$N$115</definedName>
    <definedName name="Z_F866C9B2_56BF_4FE4_B270_CC8FE15A5892_.wvu.PrintArea" localSheetId="12" hidden="1">Table6A!$B$1:$N$83</definedName>
    <definedName name="Z_F866C9B2_56BF_4FE4_B270_CC8FE15A5892_.wvu.PrintArea" localSheetId="13" hidden="1">Table6B!$B$1:$N$71</definedName>
    <definedName name="Z_F866C9B2_56BF_4FE4_B270_CC8FE15A5892_.wvu.PrintArea" localSheetId="14" hidden="1">Table7!$B$1:$N$88</definedName>
    <definedName name="Z_F866C9B2_56BF_4FE4_B270_CC8FE15A5892_.wvu.PrintArea" localSheetId="15" hidden="1">Table8A!$B$1:$N$45</definedName>
    <definedName name="Z_F866C9B2_56BF_4FE4_B270_CC8FE15A5892_.wvu.PrintArea" localSheetId="16" hidden="1">Table8B!$B$1:$N$45</definedName>
    <definedName name="Z_F866C9B2_56BF_4FE4_B270_CC8FE15A5892_.wvu.PrintArea" localSheetId="17" hidden="1">Table9!$B$1:$N$41</definedName>
    <definedName name="Z_F866C9B2_56BF_4FE4_B270_CC8FE15A5892_.wvu.PrintTitles" localSheetId="18" hidden="1">Annex1!$1:$3</definedName>
    <definedName name="Z_F866C9B2_56BF_4FE4_B270_CC8FE15A5892_.wvu.PrintTitles" localSheetId="2" hidden="1">StatementI!$1:$6</definedName>
    <definedName name="Z_F866C9B2_56BF_4FE4_B270_CC8FE15A5892_.wvu.PrintTitles" localSheetId="3" hidden="1">StatementII!$1:$7</definedName>
    <definedName name="Z_F866C9B2_56BF_4FE4_B270_CC8FE15A5892_.wvu.PrintTitles" localSheetId="5" hidden="1">StatementIV!$1:$6</definedName>
    <definedName name="Z_F866C9B2_56BF_4FE4_B270_CC8FE15A5892_.wvu.PrintTitles" localSheetId="6" hidden="1">Table1!$1:$7</definedName>
    <definedName name="Z_F866C9B2_56BF_4FE4_B270_CC8FE15A5892_.wvu.PrintTitles" localSheetId="7" hidden="1">Table2!$1:$7</definedName>
    <definedName name="Z_F866C9B2_56BF_4FE4_B270_CC8FE15A5892_.wvu.PrintTitles" localSheetId="8" hidden="1">Table3!$1:$7</definedName>
    <definedName name="Z_F866C9B2_56BF_4FE4_B270_CC8FE15A5892_.wvu.PrintTitles" localSheetId="9" hidden="1">Table4!$1:$7</definedName>
    <definedName name="Z_F866C9B2_56BF_4FE4_B270_CC8FE15A5892_.wvu.PrintTitles" localSheetId="10" hidden="1">Table5!$1:$7</definedName>
    <definedName name="Z_F866C9B2_56BF_4FE4_B270_CC8FE15A5892_.wvu.PrintTitles" localSheetId="11" hidden="1">Table6!$1:$7</definedName>
    <definedName name="Z_F866C9B2_56BF_4FE4_B270_CC8FE15A5892_.wvu.PrintTitles" localSheetId="12" hidden="1">Table6A!$1:$7</definedName>
    <definedName name="Z_F866C9B2_56BF_4FE4_B270_CC8FE15A5892_.wvu.PrintTitles" localSheetId="14" hidden="1">Table7!$1:$7</definedName>
    <definedName name="Z_F866C9B2_56BF_4FE4_B270_CC8FE15A5892_.wvu.PrintTitles" localSheetId="17" hidden="1">Table9!$1:$7</definedName>
    <definedName name="Z_F866C9B2_56BF_4FE4_B270_CC8FE15A5892_.wvu.Rows" localSheetId="19" hidden="1">Annex2!$100:$122</definedName>
  </definedNames>
  <calcPr calcId="152511"/>
  <customWorkbookViews>
    <customWorkbookView name="Majdeline El Rayess - Personal View" guid="{C3088B2E-F853-4D7E-B687-C6500891DFCB}" mergeInterval="0" personalView="1" maximized="1" xWindow="1" yWindow="1" windowWidth="1020" windowHeight="476" tabRatio="882" activeSheetId="19"/>
    <customWorkbookView name="Deon Tanzer - Personal View" guid="{F866C9B2-56BF-4FE4-B270-CC8FE15A5892}" mergeInterval="0" personalView="1" maximized="1" xWindow="1" yWindow="1" windowWidth="1916" windowHeight="830" tabRatio="882" activeSheetId="19"/>
    <customWorkbookView name="veswaran - Personal View" guid="{D66484CB-9D53-43A1-A83D-11534BC40BF6}" mergeInterval="0" personalView="1" maximized="1" xWindow="1" yWindow="1" windowWidth="1920" windowHeight="808" tabRatio="882" activeSheetId="23"/>
  </customWorkbookViews>
</workbook>
</file>

<file path=xl/calcChain.xml><?xml version="1.0" encoding="utf-8"?>
<calcChain xmlns="http://schemas.openxmlformats.org/spreadsheetml/2006/main">
  <c r="H26" i="6" l="1"/>
  <c r="N63" i="8"/>
  <c r="M63" i="8"/>
  <c r="K63" i="8"/>
  <c r="J63" i="8"/>
  <c r="I63" i="8"/>
  <c r="F63" i="8"/>
  <c r="H63" i="8"/>
  <c r="E63" i="8"/>
  <c r="N37" i="9" l="1"/>
  <c r="N76" i="11"/>
  <c r="N72" i="11"/>
  <c r="L64" i="11"/>
  <c r="G66" i="11"/>
  <c r="H37" i="17" l="1"/>
  <c r="H25" i="17"/>
  <c r="H14" i="17"/>
  <c r="H9" i="17"/>
  <c r="M9" i="17" l="1"/>
  <c r="N9" i="17"/>
  <c r="M25" i="17"/>
  <c r="N25" i="17"/>
  <c r="M14" i="17"/>
  <c r="N14" i="17"/>
  <c r="M37" i="17"/>
  <c r="N37" i="17"/>
  <c r="H25" i="9"/>
  <c r="N25" i="9" s="1"/>
  <c r="H14" i="9"/>
  <c r="N14" i="9" s="1"/>
  <c r="H9" i="9"/>
  <c r="N9" i="9" s="1"/>
  <c r="N49" i="7"/>
  <c r="H30" i="7"/>
  <c r="N30" i="7" s="1"/>
  <c r="H32" i="7"/>
  <c r="H33" i="7"/>
  <c r="N32" i="7"/>
  <c r="N33" i="7"/>
  <c r="I40" i="11" l="1"/>
  <c r="J40" i="11"/>
  <c r="K40" i="11"/>
  <c r="E23" i="11"/>
  <c r="E24" i="11"/>
  <c r="F24" i="11"/>
  <c r="E25" i="11"/>
  <c r="F25" i="11"/>
  <c r="E26" i="11"/>
  <c r="F26" i="11"/>
  <c r="E27" i="11"/>
  <c r="F27" i="11"/>
  <c r="E28" i="11"/>
  <c r="F28" i="11"/>
  <c r="E29" i="11"/>
  <c r="F29" i="11"/>
  <c r="E30" i="11"/>
  <c r="F30" i="11"/>
  <c r="F22" i="11" l="1"/>
  <c r="I8" i="10"/>
  <c r="H37" i="10"/>
  <c r="H25" i="10"/>
  <c r="H14" i="10"/>
  <c r="H9" i="10"/>
  <c r="M9" i="10" l="1"/>
  <c r="N9" i="10"/>
  <c r="M25" i="10"/>
  <c r="N25" i="10"/>
  <c r="M37" i="10"/>
  <c r="N37" i="10"/>
  <c r="M14" i="10"/>
  <c r="N14" i="10"/>
  <c r="M37" i="9"/>
  <c r="M25" i="9"/>
  <c r="M14" i="9"/>
  <c r="M9" i="9"/>
  <c r="I8" i="9"/>
  <c r="M49" i="7" l="1"/>
  <c r="M50" i="7"/>
  <c r="M51" i="7"/>
  <c r="M52" i="7"/>
  <c r="H46" i="7"/>
  <c r="N46" i="7" s="1"/>
  <c r="H47" i="7"/>
  <c r="N47" i="7" s="1"/>
  <c r="H12" i="7"/>
  <c r="N12" i="7" s="1"/>
  <c r="H13" i="7"/>
  <c r="N13" i="7" s="1"/>
  <c r="L59" i="6" l="1"/>
  <c r="F22" i="6"/>
  <c r="G22" i="6"/>
  <c r="I22" i="6"/>
  <c r="J22" i="6"/>
  <c r="K22" i="6"/>
  <c r="L22" i="6"/>
  <c r="H23" i="6"/>
  <c r="N23" i="6" s="1"/>
  <c r="H24" i="6"/>
  <c r="N24" i="6" s="1"/>
  <c r="H25" i="6"/>
  <c r="N25" i="6" s="1"/>
  <c r="N26" i="6"/>
  <c r="H27" i="6"/>
  <c r="N27" i="6" s="1"/>
  <c r="H28" i="6"/>
  <c r="N28" i="6" s="1"/>
  <c r="H22" i="6" l="1"/>
  <c r="L73" i="6"/>
  <c r="L41" i="22" l="1"/>
  <c r="K41" i="22"/>
  <c r="J41" i="22"/>
  <c r="I41" i="22"/>
  <c r="H41" i="22"/>
  <c r="G41" i="22"/>
  <c r="F41" i="22"/>
  <c r="E41" i="22"/>
  <c r="D41" i="22"/>
  <c r="L40" i="22"/>
  <c r="K40" i="22"/>
  <c r="J40" i="22"/>
  <c r="I40" i="22"/>
  <c r="H40" i="22"/>
  <c r="G40" i="22"/>
  <c r="F40" i="22"/>
  <c r="E40" i="22"/>
  <c r="D40" i="22"/>
  <c r="L39" i="22"/>
  <c r="K39" i="22"/>
  <c r="J39" i="22"/>
  <c r="I39" i="22"/>
  <c r="H39" i="22"/>
  <c r="G39" i="22"/>
  <c r="F39" i="22"/>
  <c r="E39" i="22"/>
  <c r="D39" i="22"/>
  <c r="O38" i="22"/>
  <c r="N38" i="22"/>
  <c r="L38" i="22"/>
  <c r="K38" i="22"/>
  <c r="J38" i="22"/>
  <c r="I38" i="22"/>
  <c r="H38" i="22"/>
  <c r="G38" i="22"/>
  <c r="F38" i="22"/>
  <c r="E38" i="22"/>
  <c r="D38" i="22"/>
  <c r="L37" i="22"/>
  <c r="K37" i="22"/>
  <c r="J37" i="22"/>
  <c r="I37" i="22"/>
  <c r="H37" i="22"/>
  <c r="G37" i="22"/>
  <c r="F37" i="22"/>
  <c r="E37" i="22"/>
  <c r="D37" i="22"/>
  <c r="L36" i="22"/>
  <c r="K36" i="22"/>
  <c r="J36" i="22"/>
  <c r="I36" i="22"/>
  <c r="H36" i="22"/>
  <c r="G36" i="22"/>
  <c r="F36" i="22"/>
  <c r="E36" i="22"/>
  <c r="D36" i="22"/>
  <c r="L35" i="22"/>
  <c r="K35" i="22"/>
  <c r="J35" i="22"/>
  <c r="I35" i="22"/>
  <c r="H35" i="22"/>
  <c r="G35" i="22"/>
  <c r="F35" i="22"/>
  <c r="E35" i="22"/>
  <c r="D35" i="22"/>
  <c r="F34" i="22"/>
  <c r="L32" i="22"/>
  <c r="K32" i="22"/>
  <c r="J32" i="22"/>
  <c r="I32" i="22"/>
  <c r="H32" i="22"/>
  <c r="G32" i="22"/>
  <c r="F32" i="22"/>
  <c r="E32" i="22"/>
  <c r="D32" i="22"/>
  <c r="L31" i="22"/>
  <c r="K31" i="22"/>
  <c r="J31" i="22"/>
  <c r="I31" i="22"/>
  <c r="H31" i="22"/>
  <c r="G31" i="22"/>
  <c r="F31" i="22"/>
  <c r="E31" i="22"/>
  <c r="D31" i="22"/>
  <c r="L30" i="22"/>
  <c r="K30" i="22"/>
  <c r="J30" i="22"/>
  <c r="I30" i="22"/>
  <c r="H30" i="22"/>
  <c r="G30" i="22"/>
  <c r="F30" i="22"/>
  <c r="E30" i="22"/>
  <c r="D30" i="22"/>
  <c r="L29" i="22"/>
  <c r="K29" i="22"/>
  <c r="J29" i="22"/>
  <c r="I29" i="22"/>
  <c r="H29" i="22"/>
  <c r="G29" i="22"/>
  <c r="F29" i="22"/>
  <c r="E29" i="22"/>
  <c r="D29" i="22"/>
  <c r="L28" i="22"/>
  <c r="K28" i="22"/>
  <c r="J28" i="22"/>
  <c r="I28" i="22"/>
  <c r="H28" i="22"/>
  <c r="G28" i="22"/>
  <c r="F28" i="22"/>
  <c r="E28" i="22"/>
  <c r="D28" i="22"/>
  <c r="L27" i="22"/>
  <c r="K27" i="22"/>
  <c r="J27" i="22"/>
  <c r="I27" i="22"/>
  <c r="H27" i="22"/>
  <c r="G27" i="22"/>
  <c r="F27" i="22"/>
  <c r="E27" i="22"/>
  <c r="D27" i="22"/>
  <c r="L26" i="22"/>
  <c r="K26" i="22"/>
  <c r="J26" i="22"/>
  <c r="I26" i="22"/>
  <c r="H26" i="22"/>
  <c r="G26" i="22"/>
  <c r="F26" i="22"/>
  <c r="E26" i="22"/>
  <c r="D26" i="22"/>
  <c r="F24" i="22"/>
  <c r="F23" i="22"/>
  <c r="F22" i="22"/>
  <c r="F21" i="22"/>
  <c r="O20" i="22"/>
  <c r="N20" i="22"/>
  <c r="L20" i="22"/>
  <c r="K20" i="22"/>
  <c r="J20" i="22"/>
  <c r="I20" i="22"/>
  <c r="H20" i="22"/>
  <c r="G20" i="22"/>
  <c r="F20" i="22"/>
  <c r="E20" i="22"/>
  <c r="D20" i="22"/>
  <c r="O19" i="22"/>
  <c r="N19" i="22"/>
  <c r="L19" i="22"/>
  <c r="K19" i="22"/>
  <c r="J19" i="22"/>
  <c r="I19" i="22"/>
  <c r="H19" i="22"/>
  <c r="G19" i="22"/>
  <c r="F19" i="22"/>
  <c r="E19" i="22"/>
  <c r="D19" i="22"/>
  <c r="O18" i="22"/>
  <c r="N18" i="22"/>
  <c r="F18" i="22"/>
  <c r="F17" i="22"/>
  <c r="O16" i="22"/>
  <c r="N16" i="22"/>
  <c r="F16" i="22"/>
  <c r="F15" i="22"/>
  <c r="F14" i="22"/>
  <c r="L12" i="22"/>
  <c r="K12" i="22"/>
  <c r="J12" i="22"/>
  <c r="I12" i="22"/>
  <c r="H12" i="22"/>
  <c r="G12" i="22"/>
  <c r="F12" i="22"/>
  <c r="E12" i="22"/>
  <c r="D12" i="22"/>
  <c r="O11" i="22"/>
  <c r="N11" i="22"/>
  <c r="L11" i="22"/>
  <c r="K11" i="22"/>
  <c r="J11" i="22"/>
  <c r="I11" i="22"/>
  <c r="H11" i="22"/>
  <c r="G11" i="22"/>
  <c r="F11" i="22"/>
  <c r="E11" i="22"/>
  <c r="D11" i="22"/>
  <c r="O10" i="22"/>
  <c r="N10" i="22"/>
  <c r="L10" i="22"/>
  <c r="K10" i="22"/>
  <c r="J10" i="22"/>
  <c r="I10" i="22"/>
  <c r="H10" i="22"/>
  <c r="G10" i="22"/>
  <c r="F10" i="22"/>
  <c r="E10" i="22"/>
  <c r="D10" i="22"/>
  <c r="O9" i="22"/>
  <c r="N9" i="22"/>
  <c r="L9" i="22"/>
  <c r="K9" i="22"/>
  <c r="J9" i="22"/>
  <c r="I9" i="22"/>
  <c r="H9" i="22"/>
  <c r="G9" i="22"/>
  <c r="F9" i="22"/>
  <c r="E9" i="22"/>
  <c r="D9" i="22"/>
  <c r="L8" i="22"/>
  <c r="K8" i="22"/>
  <c r="J8" i="22"/>
  <c r="I8" i="22"/>
  <c r="H8" i="22"/>
  <c r="G8" i="22"/>
  <c r="F8" i="22"/>
  <c r="E8" i="22"/>
  <c r="D8" i="22"/>
  <c r="I3" i="22"/>
  <c r="L1" i="22"/>
  <c r="G1" i="22"/>
  <c r="A1" i="22"/>
  <c r="L41" i="21"/>
  <c r="K41" i="21"/>
  <c r="J41" i="21"/>
  <c r="I41" i="21"/>
  <c r="H41" i="21"/>
  <c r="G41" i="21"/>
  <c r="F41" i="21"/>
  <c r="E41" i="21"/>
  <c r="D41" i="21"/>
  <c r="L40" i="21"/>
  <c r="K40" i="21"/>
  <c r="J40" i="21"/>
  <c r="I40" i="21"/>
  <c r="H40" i="21"/>
  <c r="G40" i="21"/>
  <c r="F40" i="21"/>
  <c r="E40" i="21"/>
  <c r="D40" i="21"/>
  <c r="L39" i="21"/>
  <c r="K39" i="21"/>
  <c r="J39" i="21"/>
  <c r="I39" i="21"/>
  <c r="H39" i="21"/>
  <c r="G39" i="21"/>
  <c r="F39" i="21"/>
  <c r="E39" i="21"/>
  <c r="D39" i="21"/>
  <c r="L38" i="21"/>
  <c r="K38" i="21"/>
  <c r="J38" i="21"/>
  <c r="I38" i="21"/>
  <c r="H38" i="21"/>
  <c r="G38" i="21"/>
  <c r="F38" i="21"/>
  <c r="E38" i="21"/>
  <c r="D38" i="21"/>
  <c r="L37" i="21"/>
  <c r="K37" i="21"/>
  <c r="J37" i="21"/>
  <c r="I37" i="21"/>
  <c r="H37" i="21"/>
  <c r="G37" i="21"/>
  <c r="F37" i="21"/>
  <c r="E37" i="21"/>
  <c r="D37" i="21"/>
  <c r="L36" i="21"/>
  <c r="K36" i="21"/>
  <c r="J36" i="21"/>
  <c r="I36" i="21"/>
  <c r="H36" i="21"/>
  <c r="G36" i="21"/>
  <c r="F36" i="21"/>
  <c r="E36" i="21"/>
  <c r="D36" i="21"/>
  <c r="F35" i="21"/>
  <c r="L33" i="21"/>
  <c r="K33" i="21"/>
  <c r="J33" i="21"/>
  <c r="I33" i="21"/>
  <c r="H33" i="21"/>
  <c r="G33" i="21"/>
  <c r="F33" i="21"/>
  <c r="E33" i="21"/>
  <c r="D33" i="21"/>
  <c r="L32" i="21"/>
  <c r="K32" i="21"/>
  <c r="J32" i="21"/>
  <c r="I32" i="21"/>
  <c r="H32" i="21"/>
  <c r="G32" i="21"/>
  <c r="F32" i="21"/>
  <c r="E32" i="21"/>
  <c r="D32" i="21"/>
  <c r="L31" i="21"/>
  <c r="K31" i="21"/>
  <c r="J31" i="21"/>
  <c r="I31" i="21"/>
  <c r="H31" i="21"/>
  <c r="G31" i="21"/>
  <c r="F31" i="21"/>
  <c r="E31" i="21"/>
  <c r="D31" i="21"/>
  <c r="L30" i="21"/>
  <c r="K30" i="21"/>
  <c r="J30" i="21"/>
  <c r="I30" i="21"/>
  <c r="H30" i="21"/>
  <c r="G30" i="21"/>
  <c r="F30" i="21"/>
  <c r="E30" i="21"/>
  <c r="D30" i="21"/>
  <c r="L29" i="21"/>
  <c r="K29" i="21"/>
  <c r="J29" i="21"/>
  <c r="I29" i="21"/>
  <c r="H29" i="21"/>
  <c r="G29" i="21"/>
  <c r="F29" i="21"/>
  <c r="E29" i="21"/>
  <c r="D29" i="21"/>
  <c r="L28" i="21"/>
  <c r="K28" i="21"/>
  <c r="J28" i="21"/>
  <c r="I28" i="21"/>
  <c r="H28" i="21"/>
  <c r="G28" i="21"/>
  <c r="F28" i="21"/>
  <c r="E28" i="21"/>
  <c r="D28" i="21"/>
  <c r="L27" i="21"/>
  <c r="K27" i="21"/>
  <c r="J27" i="21"/>
  <c r="I27" i="21"/>
  <c r="H27" i="21"/>
  <c r="G27" i="21"/>
  <c r="F27" i="21"/>
  <c r="E27" i="21"/>
  <c r="D27" i="21"/>
  <c r="F25" i="21"/>
  <c r="F24" i="21"/>
  <c r="F23" i="21"/>
  <c r="F22" i="21"/>
  <c r="F21" i="21"/>
  <c r="F20" i="21"/>
  <c r="F19" i="21"/>
  <c r="L18" i="21"/>
  <c r="K18" i="21"/>
  <c r="J18" i="21"/>
  <c r="I18" i="21"/>
  <c r="H18" i="21"/>
  <c r="G18" i="21"/>
  <c r="F18" i="21"/>
  <c r="E18" i="21"/>
  <c r="D18" i="21"/>
  <c r="L17" i="21"/>
  <c r="K17" i="21"/>
  <c r="J17" i="21"/>
  <c r="I17" i="21"/>
  <c r="H17" i="21"/>
  <c r="G17" i="21"/>
  <c r="F17" i="21"/>
  <c r="E17" i="21"/>
  <c r="D17" i="21"/>
  <c r="L16" i="21"/>
  <c r="K16" i="21"/>
  <c r="J16" i="21"/>
  <c r="I16" i="21"/>
  <c r="H16" i="21"/>
  <c r="G16" i="21"/>
  <c r="F16" i="21"/>
  <c r="E16" i="21"/>
  <c r="D16" i="21"/>
  <c r="F15" i="21"/>
  <c r="L14" i="21"/>
  <c r="K14" i="21"/>
  <c r="J14" i="21"/>
  <c r="I14" i="21"/>
  <c r="H14" i="21"/>
  <c r="G14" i="21"/>
  <c r="F14" i="21"/>
  <c r="E14" i="21"/>
  <c r="D14" i="21"/>
  <c r="L13" i="21"/>
  <c r="K13" i="21"/>
  <c r="J13" i="21"/>
  <c r="I13" i="21"/>
  <c r="H13" i="21"/>
  <c r="G13" i="21"/>
  <c r="F13" i="21"/>
  <c r="E13" i="21"/>
  <c r="D13" i="21"/>
  <c r="L11" i="21"/>
  <c r="K11" i="21"/>
  <c r="J11" i="21"/>
  <c r="I11" i="21"/>
  <c r="H11" i="21"/>
  <c r="G11" i="21"/>
  <c r="F11" i="21"/>
  <c r="E11" i="21"/>
  <c r="D11" i="21"/>
  <c r="L10" i="21"/>
  <c r="K10" i="21"/>
  <c r="J10" i="21"/>
  <c r="I10" i="21"/>
  <c r="H10" i="21"/>
  <c r="G10" i="21"/>
  <c r="F10" i="21"/>
  <c r="E10" i="21"/>
  <c r="D10" i="21"/>
  <c r="L9" i="21"/>
  <c r="K9" i="21"/>
  <c r="J9" i="21"/>
  <c r="I9" i="21"/>
  <c r="H9" i="21"/>
  <c r="G9" i="21"/>
  <c r="F9" i="21"/>
  <c r="E9" i="21"/>
  <c r="D9" i="21"/>
  <c r="L8" i="21"/>
  <c r="K8" i="21"/>
  <c r="J8" i="21"/>
  <c r="I8" i="21"/>
  <c r="H8" i="21"/>
  <c r="G8" i="21"/>
  <c r="F8" i="21"/>
  <c r="E8" i="21"/>
  <c r="D8" i="21"/>
  <c r="I3" i="21"/>
  <c r="L1" i="21"/>
  <c r="G1" i="21"/>
  <c r="A1" i="21"/>
  <c r="D169" i="20"/>
  <c r="C169" i="20"/>
  <c r="D168" i="20"/>
  <c r="C168" i="20"/>
  <c r="D167" i="20"/>
  <c r="C167" i="20"/>
  <c r="D166" i="20"/>
  <c r="C166" i="20"/>
  <c r="D165" i="20"/>
  <c r="C165" i="20"/>
  <c r="D164" i="20"/>
  <c r="C164" i="20"/>
  <c r="D163" i="20"/>
  <c r="C163" i="20"/>
  <c r="D151" i="20"/>
  <c r="C151" i="20"/>
  <c r="D150" i="20"/>
  <c r="C150" i="20"/>
  <c r="D149" i="20"/>
  <c r="C149" i="20"/>
  <c r="D148" i="20"/>
  <c r="C148" i="20"/>
  <c r="D147" i="20"/>
  <c r="C147" i="20"/>
  <c r="D146" i="20"/>
  <c r="C146" i="20"/>
  <c r="D145" i="20"/>
  <c r="C145" i="20"/>
  <c r="D143" i="20"/>
  <c r="C143" i="20"/>
  <c r="D142" i="20"/>
  <c r="C142" i="20"/>
  <c r="D141" i="20"/>
  <c r="C141" i="20"/>
  <c r="D140" i="20"/>
  <c r="C140" i="20"/>
  <c r="D139" i="20"/>
  <c r="C139" i="20"/>
  <c r="D138" i="20"/>
  <c r="C138" i="20"/>
  <c r="D137" i="20"/>
  <c r="C137" i="20"/>
  <c r="D126" i="20"/>
  <c r="C126" i="20"/>
  <c r="D125" i="20"/>
  <c r="C125" i="20"/>
  <c r="D113" i="20" a="1"/>
  <c r="D113" i="20" s="1"/>
  <c r="C113" i="20" a="1"/>
  <c r="C113" i="20" s="1"/>
  <c r="D112" i="20" a="1"/>
  <c r="D112" i="20" s="1"/>
  <c r="C112" i="20" a="1"/>
  <c r="C112" i="20" s="1"/>
  <c r="D111" i="20" a="1"/>
  <c r="D111" i="20" s="1"/>
  <c r="C111" i="20" a="1"/>
  <c r="C111" i="20" s="1"/>
  <c r="D108" i="20" a="1"/>
  <c r="D108" i="20" s="1"/>
  <c r="C108" i="20" a="1"/>
  <c r="C108" i="20" s="1"/>
  <c r="D106" i="20" a="1"/>
  <c r="D106" i="20" s="1"/>
  <c r="C106" i="20" a="1"/>
  <c r="C106" i="20" s="1"/>
  <c r="D104" i="20" a="1"/>
  <c r="D104" i="20" s="1"/>
  <c r="C104" i="20" a="1"/>
  <c r="C104" i="20" s="1"/>
  <c r="D103" i="20" a="1"/>
  <c r="D103" i="20" s="1"/>
  <c r="C103" i="20" a="1"/>
  <c r="C103" i="20" s="1"/>
  <c r="D102" i="20" a="1"/>
  <c r="D102" i="20" s="1"/>
  <c r="C102" i="20" a="1"/>
  <c r="C102" i="20" s="1"/>
  <c r="D100" i="20" a="1"/>
  <c r="D100" i="20" s="1"/>
  <c r="C100" i="20" a="1"/>
  <c r="C100" i="20" s="1"/>
  <c r="D99" i="20" a="1"/>
  <c r="D99" i="20" s="1"/>
  <c r="C99" i="20" a="1"/>
  <c r="C99" i="20" s="1"/>
  <c r="D98" i="20" a="1"/>
  <c r="D98" i="20" s="1"/>
  <c r="C98" i="20" a="1"/>
  <c r="C98" i="20" s="1"/>
  <c r="D96" i="20" a="1"/>
  <c r="D96" i="20" s="1"/>
  <c r="C96" i="20" a="1"/>
  <c r="C96" i="20" s="1"/>
  <c r="D95" i="20" a="1"/>
  <c r="D95" i="20" s="1"/>
  <c r="C95" i="20" a="1"/>
  <c r="C95" i="20" s="1"/>
  <c r="D94" i="20" a="1"/>
  <c r="D94" i="20" s="1"/>
  <c r="C94" i="20" a="1"/>
  <c r="C94" i="20" s="1"/>
  <c r="D92" i="20" a="1"/>
  <c r="D92" i="20" s="1"/>
  <c r="C92" i="20" a="1"/>
  <c r="C92" i="20" s="1"/>
  <c r="D91" i="20" a="1"/>
  <c r="D91" i="20" s="1"/>
  <c r="C91" i="20" a="1"/>
  <c r="C91" i="20" s="1"/>
  <c r="D90" i="20"/>
  <c r="C90" i="20"/>
  <c r="D88" i="20" a="1"/>
  <c r="D88" i="20" s="1"/>
  <c r="C88" i="20" a="1"/>
  <c r="C88" i="20" s="1"/>
  <c r="D87" i="20" a="1"/>
  <c r="D87" i="20" s="1"/>
  <c r="C87" i="20" a="1"/>
  <c r="C87" i="20" s="1"/>
  <c r="D85" i="20"/>
  <c r="C85" i="20"/>
  <c r="D84" i="20"/>
  <c r="C84" i="20"/>
  <c r="D83" i="20" a="1"/>
  <c r="D83" i="20" s="1"/>
  <c r="C83" i="20" a="1"/>
  <c r="C83" i="20" s="1"/>
  <c r="D80" i="20"/>
  <c r="C80" i="20"/>
  <c r="D79" i="20"/>
  <c r="C79" i="20"/>
  <c r="D78" i="20"/>
  <c r="C78" i="20"/>
  <c r="D77" i="20" a="1"/>
  <c r="D77" i="20" s="1"/>
  <c r="C77" i="20" a="1"/>
  <c r="C77" i="20" s="1"/>
  <c r="D76" i="20" a="1"/>
  <c r="D76" i="20" s="1"/>
  <c r="C76" i="20" a="1"/>
  <c r="C76" i="20" s="1"/>
  <c r="D75" i="20" a="1"/>
  <c r="D75" i="20" s="1"/>
  <c r="C75" i="20" a="1"/>
  <c r="C75" i="20" s="1"/>
  <c r="D72" i="20"/>
  <c r="C72" i="20"/>
  <c r="D71" i="20"/>
  <c r="C71" i="20"/>
  <c r="D68" i="20"/>
  <c r="C68" i="20"/>
  <c r="D25" i="20"/>
  <c r="C25" i="20"/>
  <c r="D22" i="20"/>
  <c r="C22" i="20"/>
  <c r="D16" i="20"/>
  <c r="C16" i="20"/>
  <c r="D15" i="20"/>
  <c r="C15" i="20"/>
  <c r="D14" i="20"/>
  <c r="C14" i="20"/>
  <c r="D115" i="19"/>
  <c r="D114" i="19"/>
  <c r="D113" i="19"/>
  <c r="D112" i="19"/>
  <c r="D111" i="19"/>
  <c r="D110" i="19"/>
  <c r="D109" i="19"/>
  <c r="D108" i="19"/>
  <c r="D107" i="19"/>
  <c r="D95" i="19"/>
  <c r="D3" i="19"/>
  <c r="E2" i="19"/>
  <c r="M1" i="19"/>
  <c r="F1" i="19"/>
  <c r="E1" i="19"/>
  <c r="D1" i="19"/>
  <c r="A1" i="19"/>
  <c r="W152" i="18"/>
  <c r="V152" i="18"/>
  <c r="U152" i="18"/>
  <c r="T152" i="18"/>
  <c r="S152" i="18"/>
  <c r="R152" i="18"/>
  <c r="W151" i="18"/>
  <c r="V151" i="18"/>
  <c r="U151" i="18"/>
  <c r="T151" i="18"/>
  <c r="S151" i="18"/>
  <c r="R151" i="18"/>
  <c r="W150" i="18"/>
  <c r="V150" i="18"/>
  <c r="U150" i="18"/>
  <c r="T150" i="18"/>
  <c r="S150" i="18"/>
  <c r="R150" i="18"/>
  <c r="W149" i="18"/>
  <c r="V149" i="18"/>
  <c r="U149" i="18"/>
  <c r="T149" i="18"/>
  <c r="S149" i="18"/>
  <c r="R149" i="18"/>
  <c r="W148" i="18"/>
  <c r="V148" i="18"/>
  <c r="U148" i="18"/>
  <c r="T148" i="18"/>
  <c r="S148" i="18"/>
  <c r="R148" i="18"/>
  <c r="W147" i="18"/>
  <c r="V147" i="18"/>
  <c r="V153" i="18" s="1"/>
  <c r="U147" i="18"/>
  <c r="T147" i="18"/>
  <c r="S147" i="18"/>
  <c r="R147" i="18"/>
  <c r="W135" i="18"/>
  <c r="V135" i="18"/>
  <c r="U135" i="18"/>
  <c r="T135" i="18"/>
  <c r="S135" i="18"/>
  <c r="R135" i="18"/>
  <c r="W134" i="18"/>
  <c r="V134" i="18"/>
  <c r="U134" i="18"/>
  <c r="T134" i="18"/>
  <c r="S134" i="18"/>
  <c r="R134" i="18"/>
  <c r="W133" i="18"/>
  <c r="V133" i="18"/>
  <c r="U133" i="18"/>
  <c r="T133" i="18"/>
  <c r="S133" i="18"/>
  <c r="R133" i="18"/>
  <c r="W132" i="18"/>
  <c r="V132" i="18"/>
  <c r="U132" i="18"/>
  <c r="T132" i="18"/>
  <c r="S132" i="18"/>
  <c r="R132" i="18"/>
  <c r="W131" i="18"/>
  <c r="V131" i="18"/>
  <c r="U131" i="18"/>
  <c r="T131" i="18"/>
  <c r="S131" i="18"/>
  <c r="R131" i="18"/>
  <c r="W130" i="18"/>
  <c r="V130" i="18"/>
  <c r="U130" i="18"/>
  <c r="T130" i="18"/>
  <c r="S130" i="18"/>
  <c r="R130" i="18"/>
  <c r="R136" i="18" s="1"/>
  <c r="W117" i="18"/>
  <c r="V117" i="18"/>
  <c r="U117" i="18"/>
  <c r="T117" i="18"/>
  <c r="S117" i="18"/>
  <c r="R117" i="18"/>
  <c r="W116" i="18"/>
  <c r="V116" i="18"/>
  <c r="U116" i="18"/>
  <c r="T116" i="18"/>
  <c r="S116" i="18"/>
  <c r="R116" i="18"/>
  <c r="W115" i="18"/>
  <c r="V115" i="18"/>
  <c r="U115" i="18"/>
  <c r="T115" i="18"/>
  <c r="S115" i="18"/>
  <c r="R115" i="18"/>
  <c r="W114" i="18"/>
  <c r="V114" i="18"/>
  <c r="U114" i="18"/>
  <c r="T114" i="18"/>
  <c r="S114" i="18"/>
  <c r="R114" i="18"/>
  <c r="W113" i="18"/>
  <c r="V113" i="18"/>
  <c r="U113" i="18"/>
  <c r="T113" i="18"/>
  <c r="S113" i="18"/>
  <c r="R113" i="18"/>
  <c r="W112" i="18"/>
  <c r="V112" i="18"/>
  <c r="V118" i="18" s="1"/>
  <c r="U112" i="18"/>
  <c r="T112" i="18"/>
  <c r="S112" i="18"/>
  <c r="S118" i="18" s="1"/>
  <c r="R112" i="18"/>
  <c r="W100" i="18"/>
  <c r="V100" i="18"/>
  <c r="U100" i="18"/>
  <c r="T100" i="18"/>
  <c r="S100" i="18"/>
  <c r="R100" i="18"/>
  <c r="W99" i="18"/>
  <c r="V99" i="18"/>
  <c r="U99" i="18"/>
  <c r="T99" i="18"/>
  <c r="S99" i="18"/>
  <c r="X99" i="18" s="1"/>
  <c r="R99" i="18"/>
  <c r="W98" i="18"/>
  <c r="V98" i="18"/>
  <c r="U98" i="18"/>
  <c r="T98" i="18"/>
  <c r="S98" i="18"/>
  <c r="R98" i="18"/>
  <c r="W97" i="18"/>
  <c r="V97" i="18"/>
  <c r="U97" i="18"/>
  <c r="T97" i="18"/>
  <c r="T101" i="18" s="1"/>
  <c r="S97" i="18"/>
  <c r="R97" i="18"/>
  <c r="W96" i="18"/>
  <c r="V96" i="18"/>
  <c r="U96" i="18"/>
  <c r="T96" i="18"/>
  <c r="S96" i="18"/>
  <c r="R96" i="18"/>
  <c r="W95" i="18"/>
  <c r="V95" i="18"/>
  <c r="U95" i="18"/>
  <c r="T95" i="18"/>
  <c r="S95" i="18"/>
  <c r="R95" i="18"/>
  <c r="N89" i="18"/>
  <c r="L89" i="18"/>
  <c r="K89" i="18"/>
  <c r="J89" i="18"/>
  <c r="I89" i="18"/>
  <c r="G89" i="18"/>
  <c r="F89" i="18"/>
  <c r="E89" i="18"/>
  <c r="N88" i="18"/>
  <c r="L88" i="18"/>
  <c r="K88" i="18"/>
  <c r="J88" i="18"/>
  <c r="I88" i="18"/>
  <c r="G88" i="18"/>
  <c r="F88" i="18"/>
  <c r="E88" i="18"/>
  <c r="N87" i="18"/>
  <c r="L87" i="18"/>
  <c r="K87" i="18"/>
  <c r="J87" i="18"/>
  <c r="I87" i="18"/>
  <c r="G87" i="18"/>
  <c r="F87" i="18"/>
  <c r="E87" i="18"/>
  <c r="N86" i="18"/>
  <c r="L86" i="18"/>
  <c r="K86" i="18"/>
  <c r="J86" i="18"/>
  <c r="I86" i="18"/>
  <c r="G86" i="18"/>
  <c r="F86" i="18"/>
  <c r="E86" i="18"/>
  <c r="N85" i="18"/>
  <c r="L85" i="18"/>
  <c r="K85" i="18"/>
  <c r="J85" i="18"/>
  <c r="I85" i="18"/>
  <c r="G85" i="18"/>
  <c r="F85" i="18"/>
  <c r="E85" i="18"/>
  <c r="N84" i="18"/>
  <c r="L84" i="18"/>
  <c r="K84" i="18"/>
  <c r="J84" i="18"/>
  <c r="I84" i="18"/>
  <c r="G84" i="18"/>
  <c r="F84" i="18"/>
  <c r="E84" i="18"/>
  <c r="N82" i="18"/>
  <c r="L82" i="18"/>
  <c r="K82" i="18"/>
  <c r="J82" i="18"/>
  <c r="I82" i="18"/>
  <c r="U83" i="18" s="1"/>
  <c r="G82" i="18"/>
  <c r="F82" i="18"/>
  <c r="S83" i="18" s="1"/>
  <c r="E82" i="18"/>
  <c r="N81" i="18"/>
  <c r="L81" i="18"/>
  <c r="K81" i="18"/>
  <c r="W82" i="18" s="1"/>
  <c r="J81" i="18"/>
  <c r="V82" i="18" s="1"/>
  <c r="I81" i="18"/>
  <c r="U82" i="18" s="1"/>
  <c r="G81" i="18"/>
  <c r="F81" i="18"/>
  <c r="S82" i="18" s="1"/>
  <c r="E81" i="18"/>
  <c r="R82" i="18" s="1"/>
  <c r="N80" i="18"/>
  <c r="L80" i="18"/>
  <c r="K80" i="18"/>
  <c r="W81" i="18" s="1"/>
  <c r="J80" i="18"/>
  <c r="I80" i="18"/>
  <c r="G80" i="18"/>
  <c r="F80" i="18"/>
  <c r="S81" i="18" s="1"/>
  <c r="E80" i="18"/>
  <c r="N79" i="18"/>
  <c r="L79" i="18"/>
  <c r="K79" i="18"/>
  <c r="J79" i="18"/>
  <c r="I79" i="18"/>
  <c r="G79" i="18"/>
  <c r="F79" i="18"/>
  <c r="E79" i="18"/>
  <c r="N78" i="18"/>
  <c r="L78" i="18"/>
  <c r="K78" i="18"/>
  <c r="J78" i="18"/>
  <c r="I78" i="18"/>
  <c r="U79" i="18" s="1"/>
  <c r="G78" i="18"/>
  <c r="F78" i="18"/>
  <c r="E78" i="18"/>
  <c r="N77" i="18"/>
  <c r="L77" i="18"/>
  <c r="K77" i="18"/>
  <c r="W78" i="18" s="1"/>
  <c r="J77" i="18"/>
  <c r="V78" i="18" s="1"/>
  <c r="I77" i="18"/>
  <c r="U78" i="18" s="1"/>
  <c r="G77" i="18"/>
  <c r="F77" i="18"/>
  <c r="E77" i="18"/>
  <c r="R78" i="18" s="1"/>
  <c r="W66" i="18"/>
  <c r="V66" i="18"/>
  <c r="U66" i="18"/>
  <c r="T66" i="18"/>
  <c r="S66" i="18"/>
  <c r="R66" i="18"/>
  <c r="W65" i="18"/>
  <c r="V65" i="18"/>
  <c r="U65" i="18"/>
  <c r="T65" i="18"/>
  <c r="S65" i="18"/>
  <c r="R65" i="18"/>
  <c r="W64" i="18"/>
  <c r="V64" i="18"/>
  <c r="U64" i="18"/>
  <c r="T64" i="18"/>
  <c r="S64" i="18"/>
  <c r="X64" i="18" s="1"/>
  <c r="R64" i="18"/>
  <c r="W63" i="18"/>
  <c r="V63" i="18"/>
  <c r="U63" i="18"/>
  <c r="T63" i="18"/>
  <c r="S63" i="18"/>
  <c r="R63" i="18"/>
  <c r="W62" i="18"/>
  <c r="V62" i="18"/>
  <c r="U62" i="18"/>
  <c r="T62" i="18"/>
  <c r="S62" i="18"/>
  <c r="R62" i="18"/>
  <c r="W61" i="18"/>
  <c r="V61" i="18"/>
  <c r="U61" i="18"/>
  <c r="T61" i="18"/>
  <c r="S61" i="18"/>
  <c r="R61" i="18"/>
  <c r="W49" i="18"/>
  <c r="V49" i="18"/>
  <c r="U49" i="18"/>
  <c r="T49" i="18"/>
  <c r="S49" i="18"/>
  <c r="R49" i="18"/>
  <c r="W48" i="18"/>
  <c r="V48" i="18"/>
  <c r="U48" i="18"/>
  <c r="T48" i="18"/>
  <c r="S48" i="18"/>
  <c r="R48" i="18"/>
  <c r="W47" i="18"/>
  <c r="V47" i="18"/>
  <c r="U47" i="18"/>
  <c r="T47" i="18"/>
  <c r="S47" i="18"/>
  <c r="R47" i="18"/>
  <c r="W46" i="18"/>
  <c r="V46" i="18"/>
  <c r="U46" i="18"/>
  <c r="T46" i="18"/>
  <c r="S46" i="18"/>
  <c r="R46" i="18"/>
  <c r="W45" i="18"/>
  <c r="V45" i="18"/>
  <c r="U45" i="18"/>
  <c r="T45" i="18"/>
  <c r="S45" i="18"/>
  <c r="R45" i="18"/>
  <c r="W44" i="18"/>
  <c r="V44" i="18"/>
  <c r="U44" i="18"/>
  <c r="T44" i="18"/>
  <c r="S44" i="18"/>
  <c r="R44" i="18"/>
  <c r="N38" i="18"/>
  <c r="L38" i="18"/>
  <c r="K38" i="18"/>
  <c r="J38" i="18"/>
  <c r="I38" i="18"/>
  <c r="G38" i="18"/>
  <c r="F38" i="18"/>
  <c r="E38" i="18"/>
  <c r="N37" i="18"/>
  <c r="L37" i="18"/>
  <c r="K37" i="18"/>
  <c r="J37" i="18"/>
  <c r="I37" i="18"/>
  <c r="G37" i="18"/>
  <c r="F37" i="18"/>
  <c r="E37" i="18"/>
  <c r="N36" i="18"/>
  <c r="L36" i="18"/>
  <c r="K36" i="18"/>
  <c r="J36" i="18"/>
  <c r="I36" i="18"/>
  <c r="G36" i="18"/>
  <c r="F36" i="18"/>
  <c r="E36" i="18"/>
  <c r="N35" i="18"/>
  <c r="L35" i="18"/>
  <c r="K35" i="18"/>
  <c r="J35" i="18"/>
  <c r="I35" i="18"/>
  <c r="G35" i="18"/>
  <c r="F35" i="18"/>
  <c r="E35" i="18"/>
  <c r="N34" i="18"/>
  <c r="L34" i="18"/>
  <c r="K34" i="18"/>
  <c r="J34" i="18"/>
  <c r="I34" i="18"/>
  <c r="G34" i="18"/>
  <c r="F34" i="18"/>
  <c r="E34" i="18"/>
  <c r="N33" i="18"/>
  <c r="L33" i="18"/>
  <c r="K33" i="18"/>
  <c r="J33" i="18"/>
  <c r="I33" i="18"/>
  <c r="G33" i="18"/>
  <c r="F33" i="18"/>
  <c r="E33" i="18"/>
  <c r="N31" i="18"/>
  <c r="L31" i="18"/>
  <c r="K31" i="18"/>
  <c r="W32" i="18" s="1"/>
  <c r="J31" i="18"/>
  <c r="I31" i="18"/>
  <c r="G31" i="18"/>
  <c r="F31" i="18"/>
  <c r="S32" i="18" s="1"/>
  <c r="E31" i="18"/>
  <c r="N30" i="18"/>
  <c r="L30" i="18"/>
  <c r="K30" i="18"/>
  <c r="W31" i="18" s="1"/>
  <c r="J30" i="18"/>
  <c r="V31" i="18" s="1"/>
  <c r="I30" i="18"/>
  <c r="U31" i="18" s="1"/>
  <c r="G30" i="18"/>
  <c r="F30" i="18"/>
  <c r="E30" i="18"/>
  <c r="R31" i="18" s="1"/>
  <c r="N29" i="18"/>
  <c r="L29" i="18"/>
  <c r="K29" i="18"/>
  <c r="J29" i="18"/>
  <c r="I29" i="18"/>
  <c r="U30" i="18" s="1"/>
  <c r="G29" i="18"/>
  <c r="F29" i="18"/>
  <c r="E29" i="18"/>
  <c r="N28" i="18"/>
  <c r="L28" i="18"/>
  <c r="K28" i="18"/>
  <c r="J28" i="18"/>
  <c r="I28" i="18"/>
  <c r="G28" i="18"/>
  <c r="F28" i="18"/>
  <c r="E28" i="18"/>
  <c r="N27" i="18"/>
  <c r="L27" i="18"/>
  <c r="K27" i="18"/>
  <c r="W28" i="18" s="1"/>
  <c r="J27" i="18"/>
  <c r="I27" i="18"/>
  <c r="U28" i="18" s="1"/>
  <c r="G27" i="18"/>
  <c r="F27" i="18"/>
  <c r="S28" i="18" s="1"/>
  <c r="E27" i="18"/>
  <c r="N26" i="18"/>
  <c r="L26" i="18"/>
  <c r="K26" i="18"/>
  <c r="W27" i="18" s="1"/>
  <c r="J26" i="18"/>
  <c r="V27" i="18" s="1"/>
  <c r="I26" i="18"/>
  <c r="U27" i="18" s="1"/>
  <c r="G26" i="18"/>
  <c r="F26" i="18"/>
  <c r="E26" i="18"/>
  <c r="W15" i="18"/>
  <c r="V15" i="18"/>
  <c r="U15" i="18"/>
  <c r="T15" i="18"/>
  <c r="S15" i="18"/>
  <c r="R15" i="18"/>
  <c r="W14" i="18"/>
  <c r="V14" i="18"/>
  <c r="U14" i="18"/>
  <c r="T14" i="18"/>
  <c r="S14" i="18"/>
  <c r="R14" i="18"/>
  <c r="W13" i="18"/>
  <c r="V13" i="18"/>
  <c r="U13" i="18"/>
  <c r="T13" i="18"/>
  <c r="S13" i="18"/>
  <c r="R13" i="18"/>
  <c r="W12" i="18"/>
  <c r="V12" i="18"/>
  <c r="U12" i="18"/>
  <c r="T12" i="18"/>
  <c r="S12" i="18"/>
  <c r="R12" i="18"/>
  <c r="W11" i="18"/>
  <c r="V11" i="18"/>
  <c r="U11" i="18"/>
  <c r="T11" i="18"/>
  <c r="S11" i="18"/>
  <c r="R11" i="18"/>
  <c r="W10" i="18"/>
  <c r="V10" i="18"/>
  <c r="U10" i="18"/>
  <c r="T10" i="18"/>
  <c r="S10" i="18"/>
  <c r="R10" i="18"/>
  <c r="I3" i="18"/>
  <c r="L2" i="18"/>
  <c r="N1" i="18"/>
  <c r="I1" i="18"/>
  <c r="G1" i="18"/>
  <c r="B1" i="18"/>
  <c r="L106" i="17"/>
  <c r="G106" i="17"/>
  <c r="L105" i="17"/>
  <c r="G105" i="17"/>
  <c r="L104" i="17"/>
  <c r="G104" i="17"/>
  <c r="L103" i="17"/>
  <c r="G103" i="17"/>
  <c r="L102" i="17"/>
  <c r="G102" i="17"/>
  <c r="L101" i="17"/>
  <c r="G101" i="17"/>
  <c r="L100" i="17"/>
  <c r="G100" i="17"/>
  <c r="L99" i="17"/>
  <c r="G99" i="17"/>
  <c r="L97" i="17"/>
  <c r="G97" i="17"/>
  <c r="L96" i="17"/>
  <c r="G96" i="17"/>
  <c r="L95" i="17" a="1"/>
  <c r="L95" i="17" s="1"/>
  <c r="G95" i="17" a="1"/>
  <c r="G95" i="17" s="1"/>
  <c r="L93" i="17"/>
  <c r="G93" i="17"/>
  <c r="L92" i="17"/>
  <c r="G92" i="17"/>
  <c r="N89" i="17"/>
  <c r="M89" i="17"/>
  <c r="L89" i="17"/>
  <c r="K89" i="17"/>
  <c r="J89" i="17"/>
  <c r="I89" i="17"/>
  <c r="H89" i="17"/>
  <c r="G89" i="17"/>
  <c r="F89" i="17"/>
  <c r="E89" i="17"/>
  <c r="N88" i="17"/>
  <c r="M88" i="17"/>
  <c r="L88" i="17"/>
  <c r="K88" i="17"/>
  <c r="J88" i="17"/>
  <c r="I88" i="17"/>
  <c r="H88" i="17"/>
  <c r="G88" i="17"/>
  <c r="F88" i="17"/>
  <c r="E88" i="17"/>
  <c r="N87" i="17"/>
  <c r="M87" i="17"/>
  <c r="L87" i="17"/>
  <c r="K87" i="17"/>
  <c r="J87" i="17"/>
  <c r="I87" i="17"/>
  <c r="H87" i="17"/>
  <c r="G87" i="17"/>
  <c r="F87" i="17"/>
  <c r="E87" i="17"/>
  <c r="N86" i="17"/>
  <c r="M86" i="17"/>
  <c r="L86" i="17"/>
  <c r="K86" i="17"/>
  <c r="J86" i="17"/>
  <c r="I86" i="17"/>
  <c r="H86" i="17"/>
  <c r="G86" i="17"/>
  <c r="F86" i="17"/>
  <c r="E86" i="17"/>
  <c r="N85" i="17"/>
  <c r="M85" i="17"/>
  <c r="L85" i="17"/>
  <c r="K85" i="17"/>
  <c r="J85" i="17"/>
  <c r="I85" i="17"/>
  <c r="H85" i="17"/>
  <c r="G85" i="17"/>
  <c r="F85" i="17"/>
  <c r="E85" i="17"/>
  <c r="N84" i="17"/>
  <c r="M84" i="17"/>
  <c r="L84" i="17"/>
  <c r="K84" i="17"/>
  <c r="J84" i="17"/>
  <c r="I84" i="17"/>
  <c r="H84" i="17"/>
  <c r="G84" i="17"/>
  <c r="F84" i="17"/>
  <c r="E84" i="17"/>
  <c r="N83" i="17"/>
  <c r="M83" i="17"/>
  <c r="L83" i="17"/>
  <c r="K83" i="17"/>
  <c r="J83" i="17"/>
  <c r="I83" i="17"/>
  <c r="H83" i="17"/>
  <c r="G83" i="17"/>
  <c r="F83" i="17"/>
  <c r="E83" i="17"/>
  <c r="N82" i="17"/>
  <c r="M82" i="17"/>
  <c r="L82" i="17"/>
  <c r="K82" i="17"/>
  <c r="J82" i="17"/>
  <c r="I82" i="17"/>
  <c r="H82" i="17"/>
  <c r="G82" i="17"/>
  <c r="F82" i="17"/>
  <c r="E82" i="17"/>
  <c r="N81" i="17"/>
  <c r="M81" i="17"/>
  <c r="L81" i="17"/>
  <c r="K81" i="17"/>
  <c r="J81" i="17"/>
  <c r="I81" i="17"/>
  <c r="H81" i="17"/>
  <c r="G81" i="17"/>
  <c r="F81" i="17"/>
  <c r="E81" i="17"/>
  <c r="N80" i="17"/>
  <c r="M80" i="17"/>
  <c r="L80" i="17"/>
  <c r="K80" i="17"/>
  <c r="J80" i="17"/>
  <c r="I80" i="17"/>
  <c r="H80" i="17"/>
  <c r="G80" i="17"/>
  <c r="F80" i="17"/>
  <c r="E80" i="17"/>
  <c r="N79" i="17"/>
  <c r="M79" i="17"/>
  <c r="L79" i="17"/>
  <c r="K79" i="17"/>
  <c r="J79" i="17"/>
  <c r="I79" i="17"/>
  <c r="H79" i="17"/>
  <c r="G79" i="17"/>
  <c r="F79" i="17"/>
  <c r="E79" i="17"/>
  <c r="N78" i="17"/>
  <c r="M78" i="17"/>
  <c r="L78" i="17"/>
  <c r="K78" i="17"/>
  <c r="J78" i="17"/>
  <c r="I78" i="17"/>
  <c r="H78" i="17"/>
  <c r="G78" i="17"/>
  <c r="F78" i="17"/>
  <c r="E78" i="17"/>
  <c r="N77" i="17"/>
  <c r="M77" i="17"/>
  <c r="L77" i="17"/>
  <c r="K77" i="17"/>
  <c r="J77" i="17"/>
  <c r="I77" i="17"/>
  <c r="H77" i="17"/>
  <c r="G77" i="17"/>
  <c r="F77" i="17"/>
  <c r="E77" i="17"/>
  <c r="N76" i="17"/>
  <c r="M76" i="17"/>
  <c r="L76" i="17"/>
  <c r="K76" i="17"/>
  <c r="J76" i="17"/>
  <c r="I76" i="17"/>
  <c r="H76" i="17"/>
  <c r="G76" i="17"/>
  <c r="F76" i="17"/>
  <c r="E76" i="17"/>
  <c r="N75" i="17"/>
  <c r="M75" i="17"/>
  <c r="L75" i="17"/>
  <c r="K75" i="17"/>
  <c r="J75" i="17"/>
  <c r="I75" i="17"/>
  <c r="H75" i="17"/>
  <c r="G75" i="17"/>
  <c r="F75" i="17"/>
  <c r="E75" i="17"/>
  <c r="N74" i="17"/>
  <c r="M74" i="17"/>
  <c r="L74" i="17"/>
  <c r="K74" i="17"/>
  <c r="J74" i="17"/>
  <c r="I74" i="17"/>
  <c r="H74" i="17"/>
  <c r="G74" i="17"/>
  <c r="F74" i="17"/>
  <c r="E74" i="17"/>
  <c r="N73" i="17"/>
  <c r="M73" i="17"/>
  <c r="L73" i="17"/>
  <c r="K73" i="17"/>
  <c r="J73" i="17"/>
  <c r="I73" i="17"/>
  <c r="H73" i="17"/>
  <c r="G73" i="17"/>
  <c r="F73" i="17"/>
  <c r="E73" i="17"/>
  <c r="N72" i="17"/>
  <c r="M72" i="17"/>
  <c r="L72" i="17"/>
  <c r="K72" i="17"/>
  <c r="J72" i="17"/>
  <c r="I72" i="17"/>
  <c r="H72" i="17"/>
  <c r="G72" i="17"/>
  <c r="F72" i="17"/>
  <c r="E72" i="17"/>
  <c r="N71" i="17"/>
  <c r="M71" i="17"/>
  <c r="L71" i="17"/>
  <c r="K71" i="17"/>
  <c r="J71" i="17"/>
  <c r="I71" i="17"/>
  <c r="H71" i="17"/>
  <c r="G71" i="17"/>
  <c r="F71" i="17"/>
  <c r="E71" i="17"/>
  <c r="N70" i="17"/>
  <c r="M70" i="17"/>
  <c r="L70" i="17"/>
  <c r="K70" i="17"/>
  <c r="J70" i="17"/>
  <c r="I70" i="17"/>
  <c r="H70" i="17"/>
  <c r="G70" i="17"/>
  <c r="F70" i="17"/>
  <c r="E70" i="17"/>
  <c r="N69" i="17"/>
  <c r="M69" i="17"/>
  <c r="L69" i="17"/>
  <c r="K69" i="17"/>
  <c r="J69" i="17"/>
  <c r="I69" i="17"/>
  <c r="H69" i="17"/>
  <c r="G69" i="17"/>
  <c r="F69" i="17"/>
  <c r="E69" i="17"/>
  <c r="N68" i="17"/>
  <c r="M68" i="17"/>
  <c r="L68" i="17"/>
  <c r="K68" i="17"/>
  <c r="J68" i="17"/>
  <c r="I68" i="17"/>
  <c r="H68" i="17"/>
  <c r="G68" i="17"/>
  <c r="F68" i="17"/>
  <c r="E68" i="17"/>
  <c r="N67" i="17"/>
  <c r="M67" i="17"/>
  <c r="L67" i="17"/>
  <c r="K67" i="17"/>
  <c r="J67" i="17"/>
  <c r="I67" i="17"/>
  <c r="H67" i="17"/>
  <c r="G67" i="17"/>
  <c r="F67" i="17"/>
  <c r="E67" i="17"/>
  <c r="N66" i="17"/>
  <c r="M66" i="17"/>
  <c r="L66" i="17"/>
  <c r="K66" i="17"/>
  <c r="J66" i="17"/>
  <c r="I66" i="17"/>
  <c r="H66" i="17"/>
  <c r="G66" i="17"/>
  <c r="F66" i="17"/>
  <c r="E66" i="17"/>
  <c r="N65" i="17"/>
  <c r="M65" i="17"/>
  <c r="L65" i="17"/>
  <c r="K65" i="17"/>
  <c r="J65" i="17"/>
  <c r="I65" i="17"/>
  <c r="H65" i="17"/>
  <c r="G65" i="17"/>
  <c r="F65" i="17"/>
  <c r="E65" i="17"/>
  <c r="N64" i="17"/>
  <c r="M64" i="17"/>
  <c r="L64" i="17"/>
  <c r="K64" i="17"/>
  <c r="J64" i="17"/>
  <c r="I64" i="17"/>
  <c r="H64" i="17"/>
  <c r="G64" i="17"/>
  <c r="F64" i="17"/>
  <c r="E64" i="17"/>
  <c r="N63" i="17"/>
  <c r="M63" i="17"/>
  <c r="L63" i="17"/>
  <c r="K63" i="17"/>
  <c r="J63" i="17"/>
  <c r="I63" i="17"/>
  <c r="H63" i="17"/>
  <c r="G63" i="17"/>
  <c r="F63" i="17"/>
  <c r="E63" i="17"/>
  <c r="N62" i="17"/>
  <c r="M62" i="17"/>
  <c r="L62" i="17"/>
  <c r="K62" i="17"/>
  <c r="J62" i="17"/>
  <c r="I62" i="17"/>
  <c r="H62" i="17"/>
  <c r="G62" i="17"/>
  <c r="F62" i="17"/>
  <c r="E62" i="17"/>
  <c r="N61" i="17"/>
  <c r="M61" i="17"/>
  <c r="L61" i="17"/>
  <c r="K61" i="17"/>
  <c r="J61" i="17"/>
  <c r="I61" i="17"/>
  <c r="H61" i="17"/>
  <c r="G61" i="17"/>
  <c r="F61" i="17"/>
  <c r="E61" i="17"/>
  <c r="N60" i="17"/>
  <c r="M60" i="17"/>
  <c r="L60" i="17"/>
  <c r="K60" i="17"/>
  <c r="J60" i="17"/>
  <c r="I60" i="17"/>
  <c r="H60" i="17"/>
  <c r="G60" i="17"/>
  <c r="F60" i="17"/>
  <c r="E60" i="17"/>
  <c r="N59" i="17"/>
  <c r="M59" i="17"/>
  <c r="L59" i="17"/>
  <c r="K59" i="17"/>
  <c r="J59" i="17"/>
  <c r="I59" i="17"/>
  <c r="H59" i="17"/>
  <c r="G59" i="17"/>
  <c r="F59" i="17"/>
  <c r="E59" i="17"/>
  <c r="N58" i="17"/>
  <c r="M58" i="17"/>
  <c r="L58" i="17"/>
  <c r="K58" i="17"/>
  <c r="J58" i="17"/>
  <c r="I58" i="17"/>
  <c r="H58" i="17"/>
  <c r="G58" i="17"/>
  <c r="F58" i="17"/>
  <c r="E58" i="17"/>
  <c r="N57" i="17"/>
  <c r="M57" i="17"/>
  <c r="L57" i="17"/>
  <c r="K57" i="17"/>
  <c r="J57" i="17"/>
  <c r="I57" i="17"/>
  <c r="H57" i="17"/>
  <c r="G57" i="17"/>
  <c r="F57" i="17"/>
  <c r="E57" i="17"/>
  <c r="N56" i="17"/>
  <c r="M56" i="17"/>
  <c r="L56" i="17"/>
  <c r="K56" i="17"/>
  <c r="J56" i="17"/>
  <c r="I56" i="17"/>
  <c r="H56" i="17"/>
  <c r="G56" i="17"/>
  <c r="F56" i="17"/>
  <c r="E56" i="17"/>
  <c r="N55" i="17"/>
  <c r="M55" i="17"/>
  <c r="L55" i="17"/>
  <c r="K55" i="17"/>
  <c r="J55" i="17"/>
  <c r="I55" i="17"/>
  <c r="H55" i="17"/>
  <c r="G55" i="17"/>
  <c r="F55" i="17"/>
  <c r="E55" i="17"/>
  <c r="N54" i="17"/>
  <c r="M54" i="17"/>
  <c r="L54" i="17"/>
  <c r="K54" i="17"/>
  <c r="J54" i="17"/>
  <c r="I54" i="17"/>
  <c r="H54" i="17"/>
  <c r="G54" i="17"/>
  <c r="F54" i="17"/>
  <c r="E54" i="17"/>
  <c r="N51" i="17"/>
  <c r="M51" i="17"/>
  <c r="L51" i="17"/>
  <c r="K51" i="17"/>
  <c r="J51" i="17"/>
  <c r="I51" i="17"/>
  <c r="H51" i="17"/>
  <c r="G51" i="17"/>
  <c r="F51" i="17"/>
  <c r="E51" i="17"/>
  <c r="N50" i="17"/>
  <c r="M50" i="17"/>
  <c r="L50" i="17"/>
  <c r="K50" i="17"/>
  <c r="J50" i="17"/>
  <c r="I50" i="17"/>
  <c r="H50" i="17"/>
  <c r="G50" i="17"/>
  <c r="F50" i="17"/>
  <c r="E50" i="17"/>
  <c r="N49" i="17"/>
  <c r="M49" i="17"/>
  <c r="L49" i="17"/>
  <c r="K49" i="17"/>
  <c r="J49" i="17"/>
  <c r="I49" i="17"/>
  <c r="H49" i="17"/>
  <c r="G49" i="17"/>
  <c r="F49" i="17"/>
  <c r="E49" i="17"/>
  <c r="N48" i="17"/>
  <c r="M48" i="17"/>
  <c r="L48" i="17"/>
  <c r="K48" i="17"/>
  <c r="J48" i="17"/>
  <c r="I48" i="17"/>
  <c r="H48" i="17"/>
  <c r="G48" i="17"/>
  <c r="F48" i="17"/>
  <c r="E48" i="17"/>
  <c r="N47" i="17"/>
  <c r="M47" i="17"/>
  <c r="L47" i="17"/>
  <c r="K47" i="17"/>
  <c r="J47" i="17"/>
  <c r="I47" i="17"/>
  <c r="H47" i="17"/>
  <c r="G47" i="17"/>
  <c r="F47" i="17"/>
  <c r="E47" i="17"/>
  <c r="N46" i="17"/>
  <c r="M46" i="17"/>
  <c r="L46" i="17"/>
  <c r="K46" i="17"/>
  <c r="J46" i="17"/>
  <c r="I46" i="17"/>
  <c r="H46" i="17"/>
  <c r="G46" i="17"/>
  <c r="F46" i="17"/>
  <c r="E46" i="17"/>
  <c r="Q41" i="17"/>
  <c r="P41" i="17"/>
  <c r="Q40" i="17"/>
  <c r="P40" i="17"/>
  <c r="Q39" i="17"/>
  <c r="P39" i="17"/>
  <c r="Q38" i="17"/>
  <c r="P38" i="17"/>
  <c r="Q37" i="17"/>
  <c r="P37" i="17"/>
  <c r="Q35" i="17"/>
  <c r="P35" i="17"/>
  <c r="Q34" i="17"/>
  <c r="P34" i="17"/>
  <c r="Q33" i="17"/>
  <c r="P33" i="17"/>
  <c r="Q32" i="17"/>
  <c r="P32" i="17"/>
  <c r="Q31" i="17"/>
  <c r="P31" i="17"/>
  <c r="Q30" i="17"/>
  <c r="P30" i="17"/>
  <c r="Q29" i="17"/>
  <c r="P29" i="17"/>
  <c r="Q28" i="17"/>
  <c r="P28" i="17"/>
  <c r="Q27" i="17"/>
  <c r="P27" i="17"/>
  <c r="Q26" i="17"/>
  <c r="P26" i="17"/>
  <c r="Q25" i="17"/>
  <c r="P25" i="17"/>
  <c r="Q24" i="17"/>
  <c r="P24" i="17"/>
  <c r="Q23" i="17"/>
  <c r="P23" i="17"/>
  <c r="Q22" i="17"/>
  <c r="P22" i="17"/>
  <c r="Q21" i="17"/>
  <c r="P21" i="17"/>
  <c r="Q20" i="17"/>
  <c r="P20" i="17"/>
  <c r="Q19" i="17"/>
  <c r="P19" i="17"/>
  <c r="Q18" i="17"/>
  <c r="P18" i="17"/>
  <c r="Q17" i="17"/>
  <c r="P17" i="17"/>
  <c r="Q16" i="17"/>
  <c r="P16" i="17"/>
  <c r="Q15" i="17"/>
  <c r="P15" i="17"/>
  <c r="Q14" i="17"/>
  <c r="P14" i="17"/>
  <c r="Q13" i="17"/>
  <c r="P13" i="17"/>
  <c r="Q12" i="17"/>
  <c r="P12" i="17"/>
  <c r="Q11" i="17"/>
  <c r="P11" i="17"/>
  <c r="Q10" i="17"/>
  <c r="P10" i="17"/>
  <c r="Q9" i="17"/>
  <c r="P9" i="17"/>
  <c r="N8" i="17"/>
  <c r="N45" i="17" s="1"/>
  <c r="M8" i="17"/>
  <c r="M45" i="17" s="1"/>
  <c r="L21" i="21" s="1"/>
  <c r="L8" i="17"/>
  <c r="D32" i="20" s="1"/>
  <c r="K8" i="17"/>
  <c r="J22" i="5" s="1"/>
  <c r="J8" i="17"/>
  <c r="I8" i="17"/>
  <c r="I45" i="17" s="1"/>
  <c r="I21" i="21" s="1"/>
  <c r="H8" i="17"/>
  <c r="H45" i="17" s="1"/>
  <c r="H21" i="21" s="1"/>
  <c r="G8" i="17"/>
  <c r="G45" i="17" s="1"/>
  <c r="G21" i="21" s="1"/>
  <c r="F8" i="17"/>
  <c r="F45" i="17" s="1"/>
  <c r="E21" i="21" s="1"/>
  <c r="E8" i="17"/>
  <c r="E45" i="17" s="1"/>
  <c r="D21" i="21" s="1"/>
  <c r="I3" i="17"/>
  <c r="F2" i="17"/>
  <c r="N1" i="17"/>
  <c r="G1" i="17"/>
  <c r="B1" i="17"/>
  <c r="L68" i="16" a="1"/>
  <c r="L68" i="16" s="1"/>
  <c r="G68" i="16" a="1"/>
  <c r="G68" i="16" s="1"/>
  <c r="L66" i="16" a="1"/>
  <c r="L66" i="16" s="1"/>
  <c r="G66" i="16" a="1"/>
  <c r="G66" i="16" s="1"/>
  <c r="L61" i="16"/>
  <c r="N58" i="16"/>
  <c r="L58" i="16"/>
  <c r="K58" i="16"/>
  <c r="J58" i="16"/>
  <c r="I58" i="16"/>
  <c r="G58" i="16"/>
  <c r="F58" i="16"/>
  <c r="E58" i="16"/>
  <c r="N57" i="16"/>
  <c r="K57" i="16"/>
  <c r="J57" i="16"/>
  <c r="I57" i="16"/>
  <c r="F57" i="16"/>
  <c r="E57" i="16"/>
  <c r="N53" i="16"/>
  <c r="M53" i="16"/>
  <c r="L53" i="16"/>
  <c r="K53" i="16"/>
  <c r="J53" i="16"/>
  <c r="I53" i="16"/>
  <c r="H53" i="16"/>
  <c r="G53" i="16"/>
  <c r="F53" i="16"/>
  <c r="E53" i="16"/>
  <c r="N52" i="16"/>
  <c r="K52" i="16"/>
  <c r="J52" i="16"/>
  <c r="I52" i="16"/>
  <c r="F52" i="16"/>
  <c r="E52" i="16"/>
  <c r="H45" i="16"/>
  <c r="M45" i="16" s="1"/>
  <c r="Q45" i="16" s="1"/>
  <c r="H44" i="16"/>
  <c r="P44" i="16" s="1"/>
  <c r="H43" i="16"/>
  <c r="P43" i="16" s="1"/>
  <c r="H42" i="16"/>
  <c r="M42" i="16" s="1"/>
  <c r="Q42" i="16" s="1"/>
  <c r="L41" i="16"/>
  <c r="G41" i="16"/>
  <c r="G56" i="16" s="1"/>
  <c r="H40" i="16"/>
  <c r="P40" i="16" s="1"/>
  <c r="H39" i="16"/>
  <c r="P39" i="16" s="1"/>
  <c r="H38" i="16"/>
  <c r="P38" i="16" s="1"/>
  <c r="H37" i="16"/>
  <c r="P37" i="16" s="1"/>
  <c r="H36" i="16"/>
  <c r="P36" i="16" s="1"/>
  <c r="H35" i="16"/>
  <c r="P35" i="16" s="1"/>
  <c r="H34" i="16"/>
  <c r="P34" i="16" s="1"/>
  <c r="H33" i="16"/>
  <c r="P33" i="16" s="1"/>
  <c r="H32" i="16"/>
  <c r="P32" i="16" s="1"/>
  <c r="H31" i="16"/>
  <c r="P31" i="16" s="1"/>
  <c r="H30" i="16"/>
  <c r="H26" i="16"/>
  <c r="H25" i="16"/>
  <c r="P25" i="16" s="1"/>
  <c r="H24" i="16"/>
  <c r="P24" i="16" s="1"/>
  <c r="H23" i="16"/>
  <c r="P23" i="16" s="1"/>
  <c r="L22" i="16"/>
  <c r="L67" i="16" s="1" a="1"/>
  <c r="L67" i="16" s="1"/>
  <c r="G22" i="16"/>
  <c r="G51" i="16" s="1"/>
  <c r="H21" i="16"/>
  <c r="P21" i="16" s="1"/>
  <c r="H20" i="16"/>
  <c r="P20" i="16" s="1"/>
  <c r="H19" i="16"/>
  <c r="P19" i="16" s="1"/>
  <c r="H18" i="16"/>
  <c r="P18" i="16" s="1"/>
  <c r="H17" i="16"/>
  <c r="P17" i="16" s="1"/>
  <c r="Q16" i="16"/>
  <c r="P16" i="16"/>
  <c r="Q15" i="16"/>
  <c r="P15" i="16"/>
  <c r="Q14" i="16"/>
  <c r="P14" i="16"/>
  <c r="Q13" i="16"/>
  <c r="P13" i="16"/>
  <c r="Q12" i="16"/>
  <c r="P12" i="16"/>
  <c r="Q11" i="16"/>
  <c r="P11" i="16"/>
  <c r="I3" i="16"/>
  <c r="F2" i="16"/>
  <c r="N1" i="16"/>
  <c r="G1" i="16"/>
  <c r="G61" i="16" s="1"/>
  <c r="B1" i="16"/>
  <c r="L68" i="15" a="1"/>
  <c r="L68" i="15" s="1"/>
  <c r="G68" i="15" a="1"/>
  <c r="G68" i="15" s="1"/>
  <c r="L66" i="15" a="1"/>
  <c r="L66" i="15" s="1"/>
  <c r="G66" i="15" a="1"/>
  <c r="G66" i="15" s="1"/>
  <c r="L61" i="15"/>
  <c r="N58" i="15"/>
  <c r="L58" i="15"/>
  <c r="K58" i="15"/>
  <c r="J58" i="15"/>
  <c r="I58" i="15"/>
  <c r="G58" i="15"/>
  <c r="F58" i="15"/>
  <c r="E58" i="15"/>
  <c r="N57" i="15"/>
  <c r="K57" i="15"/>
  <c r="J57" i="15"/>
  <c r="I57" i="15"/>
  <c r="F57" i="15"/>
  <c r="E57" i="15"/>
  <c r="N53" i="15"/>
  <c r="L53" i="15"/>
  <c r="K53" i="15"/>
  <c r="J53" i="15"/>
  <c r="I53" i="15"/>
  <c r="G53" i="15"/>
  <c r="F53" i="15"/>
  <c r="E53" i="15"/>
  <c r="N52" i="15"/>
  <c r="K52" i="15"/>
  <c r="J52" i="15"/>
  <c r="I52" i="15"/>
  <c r="F52" i="15"/>
  <c r="E52" i="15"/>
  <c r="H45" i="15"/>
  <c r="M45" i="15" s="1"/>
  <c r="Q45" i="15" s="1"/>
  <c r="P44" i="15"/>
  <c r="H44" i="15"/>
  <c r="M44" i="15" s="1"/>
  <c r="Q44" i="15" s="1"/>
  <c r="H43" i="15"/>
  <c r="M43" i="15" s="1"/>
  <c r="Q43" i="15" s="1"/>
  <c r="H42" i="15"/>
  <c r="L41" i="15"/>
  <c r="G41" i="15"/>
  <c r="H40" i="15"/>
  <c r="H39" i="15"/>
  <c r="M39" i="15" s="1"/>
  <c r="Q39" i="15" s="1"/>
  <c r="H38" i="15"/>
  <c r="M38" i="15" s="1"/>
  <c r="Q38" i="15" s="1"/>
  <c r="H37" i="15"/>
  <c r="M37" i="15" s="1"/>
  <c r="Q37" i="15" s="1"/>
  <c r="H36" i="15"/>
  <c r="H35" i="15"/>
  <c r="H34" i="15"/>
  <c r="M34" i="15" s="1"/>
  <c r="Q34" i="15" s="1"/>
  <c r="P33" i="15"/>
  <c r="H33" i="15"/>
  <c r="M33" i="15" s="1"/>
  <c r="Q33" i="15" s="1"/>
  <c r="H32" i="15"/>
  <c r="M32" i="15" s="1"/>
  <c r="Q32" i="15" s="1"/>
  <c r="H31" i="15"/>
  <c r="M31" i="15" s="1"/>
  <c r="Q31" i="15" s="1"/>
  <c r="H30" i="15"/>
  <c r="P30" i="15" s="1"/>
  <c r="M26" i="15"/>
  <c r="Q26" i="15" s="1"/>
  <c r="H26" i="15"/>
  <c r="P26" i="15" s="1"/>
  <c r="H25" i="15"/>
  <c r="M25" i="15" s="1"/>
  <c r="Q25" i="15" s="1"/>
  <c r="H24" i="15"/>
  <c r="P24" i="15" s="1"/>
  <c r="H23" i="15"/>
  <c r="P23" i="15" s="1"/>
  <c r="L22" i="15"/>
  <c r="D107" i="20" s="1" a="1"/>
  <c r="D107" i="20" s="1"/>
  <c r="G22" i="15"/>
  <c r="C107" i="20" s="1" a="1"/>
  <c r="C107" i="20" s="1"/>
  <c r="H21" i="15"/>
  <c r="Q21" i="15" s="1"/>
  <c r="M20" i="15"/>
  <c r="Q20" i="15" s="1"/>
  <c r="H20" i="15"/>
  <c r="P20" i="15" s="1"/>
  <c r="H19" i="15"/>
  <c r="P19" i="15" s="1"/>
  <c r="H18" i="15"/>
  <c r="P18" i="15" s="1"/>
  <c r="H17" i="15"/>
  <c r="P17" i="15" s="1"/>
  <c r="H16" i="15"/>
  <c r="H15" i="15"/>
  <c r="H14" i="15"/>
  <c r="P14" i="15" s="1"/>
  <c r="H13" i="15"/>
  <c r="P13" i="15" s="1"/>
  <c r="H12" i="15"/>
  <c r="P12" i="15" s="1"/>
  <c r="H11" i="15"/>
  <c r="P11" i="15" s="1"/>
  <c r="I3" i="15"/>
  <c r="F2" i="15"/>
  <c r="N1" i="15"/>
  <c r="G1" i="15"/>
  <c r="G61" i="15" s="1"/>
  <c r="B1" i="15"/>
  <c r="G99" i="14"/>
  <c r="H87" i="14"/>
  <c r="M87" i="14" s="1"/>
  <c r="Q87" i="14" s="1"/>
  <c r="H86" i="14"/>
  <c r="H85" i="14"/>
  <c r="M85" i="14" s="1"/>
  <c r="Q85" i="14" s="1"/>
  <c r="H84" i="14"/>
  <c r="H83" i="14"/>
  <c r="M83" i="14" s="1"/>
  <c r="Q83" i="14" s="1"/>
  <c r="H82" i="14"/>
  <c r="H81" i="14"/>
  <c r="M81" i="14" s="1"/>
  <c r="Q81" i="14" s="1"/>
  <c r="H80" i="14"/>
  <c r="H79" i="14"/>
  <c r="M79" i="14" s="1"/>
  <c r="Q79" i="14" s="1"/>
  <c r="N78" i="14"/>
  <c r="N103" i="14" s="1"/>
  <c r="L78" i="14"/>
  <c r="L103" i="14" s="1"/>
  <c r="K78" i="14"/>
  <c r="K103" i="14" s="1"/>
  <c r="J78" i="14"/>
  <c r="J103" i="14" s="1"/>
  <c r="I78" i="14"/>
  <c r="I103" i="14" s="1"/>
  <c r="G78" i="14"/>
  <c r="G103" i="14" s="1"/>
  <c r="F78" i="14"/>
  <c r="F103" i="14" s="1"/>
  <c r="E78" i="14"/>
  <c r="E103" i="14" s="1"/>
  <c r="Q77" i="14"/>
  <c r="H77" i="14"/>
  <c r="M77" i="14" s="1"/>
  <c r="H76" i="14"/>
  <c r="H75" i="14"/>
  <c r="M75" i="14" s="1"/>
  <c r="Q75" i="14" s="1"/>
  <c r="H74" i="14"/>
  <c r="Q73" i="14"/>
  <c r="H73" i="14"/>
  <c r="M73" i="14" s="1"/>
  <c r="H72" i="14"/>
  <c r="H71" i="14"/>
  <c r="M71" i="14" s="1"/>
  <c r="Q71" i="14" s="1"/>
  <c r="H70" i="14"/>
  <c r="N69" i="14"/>
  <c r="N102" i="14" s="1"/>
  <c r="L69" i="14"/>
  <c r="L102" i="14" s="1"/>
  <c r="K69" i="14"/>
  <c r="K102" i="14" s="1"/>
  <c r="J69" i="14"/>
  <c r="J102" i="14" s="1"/>
  <c r="I69" i="14"/>
  <c r="I102" i="14" s="1"/>
  <c r="G69" i="14"/>
  <c r="G102" i="14" s="1"/>
  <c r="F69" i="14"/>
  <c r="F102" i="14" s="1"/>
  <c r="E69" i="14"/>
  <c r="E102" i="14" s="1"/>
  <c r="H68" i="14"/>
  <c r="H67" i="14"/>
  <c r="M67" i="14" s="1"/>
  <c r="Q67" i="14" s="1"/>
  <c r="H66" i="14"/>
  <c r="H65" i="14"/>
  <c r="M65" i="14" s="1"/>
  <c r="Q65" i="14" s="1"/>
  <c r="H64" i="14"/>
  <c r="H63" i="14"/>
  <c r="M63" i="14" s="1"/>
  <c r="Q63" i="14" s="1"/>
  <c r="N62" i="14"/>
  <c r="N101" i="14" s="1"/>
  <c r="L62" i="14"/>
  <c r="L101" i="14" s="1"/>
  <c r="K62" i="14"/>
  <c r="K101" i="14" s="1"/>
  <c r="J62" i="14"/>
  <c r="J101" i="14" s="1"/>
  <c r="I62" i="14"/>
  <c r="I101" i="14" s="1"/>
  <c r="G62" i="14"/>
  <c r="G101" i="14" s="1"/>
  <c r="F62" i="14"/>
  <c r="F101" i="14" s="1"/>
  <c r="E62" i="14"/>
  <c r="E101" i="14" s="1"/>
  <c r="H61" i="14"/>
  <c r="M61" i="14" s="1"/>
  <c r="Q61" i="14" s="1"/>
  <c r="H60" i="14"/>
  <c r="H59" i="14"/>
  <c r="M59" i="14" s="1"/>
  <c r="Q59" i="14" s="1"/>
  <c r="H58" i="14"/>
  <c r="H57" i="14"/>
  <c r="M57" i="14" s="1"/>
  <c r="Q57" i="14" s="1"/>
  <c r="H56" i="14"/>
  <c r="N55" i="14"/>
  <c r="N100" i="14" s="1"/>
  <c r="L55" i="14"/>
  <c r="L100" i="14" s="1"/>
  <c r="K55" i="14"/>
  <c r="K100" i="14" s="1"/>
  <c r="J55" i="14"/>
  <c r="J100" i="14" s="1"/>
  <c r="I55" i="14"/>
  <c r="I100" i="14" s="1"/>
  <c r="G55" i="14"/>
  <c r="F55" i="14"/>
  <c r="F100" i="14" s="1"/>
  <c r="E55" i="14"/>
  <c r="E100" i="14" s="1"/>
  <c r="H54" i="14"/>
  <c r="H53" i="14"/>
  <c r="M53" i="14" s="1"/>
  <c r="Q53" i="14" s="1"/>
  <c r="H52" i="14"/>
  <c r="H51" i="14"/>
  <c r="M51" i="14" s="1"/>
  <c r="Q51" i="14" s="1"/>
  <c r="H50" i="14"/>
  <c r="H49" i="14"/>
  <c r="M49" i="14" s="1"/>
  <c r="Q49" i="14" s="1"/>
  <c r="N48" i="14"/>
  <c r="N99" i="14" s="1"/>
  <c r="L48" i="14"/>
  <c r="L99" i="14" s="1"/>
  <c r="K48" i="14"/>
  <c r="K99" i="14" s="1"/>
  <c r="J48" i="14"/>
  <c r="J99" i="14" s="1"/>
  <c r="I48" i="14"/>
  <c r="I99" i="14" s="1"/>
  <c r="G48" i="14"/>
  <c r="F48" i="14"/>
  <c r="F99" i="14" s="1"/>
  <c r="E48" i="14"/>
  <c r="E99" i="14" s="1"/>
  <c r="H47" i="14"/>
  <c r="M47" i="14" s="1"/>
  <c r="Q47" i="14" s="1"/>
  <c r="H46" i="14"/>
  <c r="H45" i="14"/>
  <c r="M45" i="14" s="1"/>
  <c r="Q45" i="14" s="1"/>
  <c r="H44" i="14"/>
  <c r="H43" i="14"/>
  <c r="M43" i="14" s="1"/>
  <c r="Q43" i="14" s="1"/>
  <c r="H42" i="14"/>
  <c r="N41" i="14"/>
  <c r="N98" i="14" s="1"/>
  <c r="L41" i="14"/>
  <c r="L98" i="14" s="1"/>
  <c r="K41" i="14"/>
  <c r="K98" i="14" s="1"/>
  <c r="J41" i="14"/>
  <c r="J98" i="14" s="1"/>
  <c r="I41" i="14"/>
  <c r="I98" i="14" s="1"/>
  <c r="G41" i="14"/>
  <c r="G98" i="14" s="1"/>
  <c r="F41" i="14"/>
  <c r="F98" i="14" s="1"/>
  <c r="E41" i="14"/>
  <c r="E98" i="14" s="1"/>
  <c r="H40" i="14"/>
  <c r="H39" i="14"/>
  <c r="M39" i="14" s="1"/>
  <c r="Q39" i="14" s="1"/>
  <c r="H38" i="14"/>
  <c r="H37" i="14"/>
  <c r="M37" i="14" s="1"/>
  <c r="Q37" i="14" s="1"/>
  <c r="H36" i="14"/>
  <c r="H35" i="14"/>
  <c r="M35" i="14" s="1"/>
  <c r="Q35" i="14" s="1"/>
  <c r="H34" i="14"/>
  <c r="H33" i="14"/>
  <c r="M33" i="14" s="1"/>
  <c r="Q33" i="14" s="1"/>
  <c r="H32" i="14"/>
  <c r="N31" i="14"/>
  <c r="N97" i="14" s="1"/>
  <c r="L31" i="14"/>
  <c r="L97" i="14" s="1"/>
  <c r="K31" i="14"/>
  <c r="K97" i="14" s="1"/>
  <c r="J31" i="14"/>
  <c r="J97" i="14" s="1"/>
  <c r="I31" i="14"/>
  <c r="I97" i="14" s="1"/>
  <c r="G31" i="14"/>
  <c r="G97" i="14" s="1"/>
  <c r="F31" i="14"/>
  <c r="F97" i="14" s="1"/>
  <c r="E31" i="14"/>
  <c r="E97" i="14" s="1"/>
  <c r="H30" i="14"/>
  <c r="H29" i="14"/>
  <c r="P29" i="14" s="1"/>
  <c r="H28" i="14"/>
  <c r="H27" i="14"/>
  <c r="P27" i="14" s="1"/>
  <c r="H26" i="14"/>
  <c r="P25" i="14"/>
  <c r="H25" i="14"/>
  <c r="M25" i="14" s="1"/>
  <c r="Q25" i="14" s="1"/>
  <c r="N24" i="14"/>
  <c r="N96" i="14" s="1"/>
  <c r="L24" i="14"/>
  <c r="L96" i="14" s="1"/>
  <c r="K24" i="14"/>
  <c r="K96" i="14" s="1"/>
  <c r="J24" i="14"/>
  <c r="J96" i="14" s="1"/>
  <c r="I24" i="14"/>
  <c r="I96" i="14" s="1"/>
  <c r="G24" i="14"/>
  <c r="G96" i="14" s="1"/>
  <c r="F24" i="14"/>
  <c r="F96" i="14" s="1"/>
  <c r="E24" i="14"/>
  <c r="E96" i="14" s="1"/>
  <c r="H23" i="14"/>
  <c r="P23" i="14" s="1"/>
  <c r="H22" i="14"/>
  <c r="H21" i="14"/>
  <c r="H20" i="14"/>
  <c r="H19" i="14"/>
  <c r="M19" i="14" s="1"/>
  <c r="N18" i="14"/>
  <c r="N95" i="14" s="1"/>
  <c r="L18" i="14"/>
  <c r="L95" i="14" s="1"/>
  <c r="K18" i="14"/>
  <c r="K95" i="14" s="1"/>
  <c r="J18" i="14"/>
  <c r="J95" i="14" s="1"/>
  <c r="I18" i="14"/>
  <c r="I95" i="14" s="1"/>
  <c r="G18" i="14"/>
  <c r="G95" i="14" s="1"/>
  <c r="F18" i="14"/>
  <c r="F95" i="14" s="1"/>
  <c r="E18" i="14"/>
  <c r="E95" i="14" s="1"/>
  <c r="H17" i="14"/>
  <c r="P17" i="14" s="1"/>
  <c r="P16" i="14"/>
  <c r="H16" i="14"/>
  <c r="M16" i="14" s="1"/>
  <c r="H15" i="14"/>
  <c r="P15" i="14" s="1"/>
  <c r="H14" i="14"/>
  <c r="M14" i="14" s="1"/>
  <c r="H13" i="14"/>
  <c r="P13" i="14" s="1"/>
  <c r="H12" i="14"/>
  <c r="P12" i="14" s="1"/>
  <c r="H11" i="14"/>
  <c r="P11" i="14" s="1"/>
  <c r="H10" i="14"/>
  <c r="P10" i="14" s="1"/>
  <c r="N9" i="14"/>
  <c r="N94" i="14" s="1"/>
  <c r="L9" i="14"/>
  <c r="K9" i="14"/>
  <c r="K94" i="14" s="1"/>
  <c r="J9" i="14"/>
  <c r="I9" i="14"/>
  <c r="I94" i="14" s="1"/>
  <c r="G9" i="14"/>
  <c r="G94" i="14" s="1"/>
  <c r="F9" i="14"/>
  <c r="F94" i="14" s="1"/>
  <c r="E9" i="14"/>
  <c r="N8" i="14"/>
  <c r="I3" i="14"/>
  <c r="F2" i="14"/>
  <c r="N1" i="14"/>
  <c r="G1" i="14"/>
  <c r="B1" i="14"/>
  <c r="L106" i="13"/>
  <c r="G106" i="13"/>
  <c r="L105" i="13"/>
  <c r="G105" i="13"/>
  <c r="L104" i="13"/>
  <c r="G104" i="13"/>
  <c r="L103" i="13"/>
  <c r="G103" i="13"/>
  <c r="L102" i="13"/>
  <c r="G102" i="13"/>
  <c r="L101" i="13"/>
  <c r="G101" i="13"/>
  <c r="N98" i="13"/>
  <c r="L98" i="13"/>
  <c r="K98" i="13"/>
  <c r="J98" i="13"/>
  <c r="I98" i="13"/>
  <c r="G98" i="13"/>
  <c r="F98" i="13"/>
  <c r="E98" i="13"/>
  <c r="N97" i="13"/>
  <c r="L97" i="13"/>
  <c r="K97" i="13"/>
  <c r="J97" i="13"/>
  <c r="I97" i="13"/>
  <c r="G97" i="13"/>
  <c r="F97" i="13"/>
  <c r="E97" i="13"/>
  <c r="N96" i="13"/>
  <c r="L96" i="13"/>
  <c r="K96" i="13"/>
  <c r="J96" i="13"/>
  <c r="I96" i="13"/>
  <c r="G96" i="13"/>
  <c r="F96" i="13"/>
  <c r="E96" i="13"/>
  <c r="N95" i="13"/>
  <c r="L95" i="13"/>
  <c r="K95" i="13"/>
  <c r="J95" i="13"/>
  <c r="I95" i="13"/>
  <c r="G95" i="13"/>
  <c r="F95" i="13"/>
  <c r="E95" i="13"/>
  <c r="N94" i="13"/>
  <c r="L94" i="13"/>
  <c r="K94" i="13"/>
  <c r="J94" i="13"/>
  <c r="I94" i="13"/>
  <c r="G94" i="13"/>
  <c r="F94" i="13"/>
  <c r="E94" i="13"/>
  <c r="N93" i="13"/>
  <c r="L93" i="13"/>
  <c r="K93" i="13"/>
  <c r="J93" i="13"/>
  <c r="I93" i="13"/>
  <c r="G93" i="13"/>
  <c r="F93" i="13"/>
  <c r="E93" i="13"/>
  <c r="N92" i="13"/>
  <c r="L92" i="13"/>
  <c r="K92" i="13"/>
  <c r="J92" i="13"/>
  <c r="I92" i="13"/>
  <c r="G92" i="13"/>
  <c r="F92" i="13"/>
  <c r="E92" i="13"/>
  <c r="N91" i="13"/>
  <c r="L91" i="13"/>
  <c r="K91" i="13"/>
  <c r="J91" i="13"/>
  <c r="I91" i="13"/>
  <c r="G91" i="13"/>
  <c r="F91" i="13"/>
  <c r="E91" i="13"/>
  <c r="N90" i="13"/>
  <c r="L90" i="13"/>
  <c r="K90" i="13"/>
  <c r="J90" i="13"/>
  <c r="I90" i="13"/>
  <c r="G90" i="13"/>
  <c r="F90" i="13"/>
  <c r="E90" i="13"/>
  <c r="N89" i="13"/>
  <c r="L89" i="13"/>
  <c r="K89" i="13"/>
  <c r="J89" i="13"/>
  <c r="I89" i="13"/>
  <c r="G89" i="13"/>
  <c r="F89" i="13"/>
  <c r="E89" i="13"/>
  <c r="N88" i="13"/>
  <c r="L88" i="13"/>
  <c r="K88" i="13"/>
  <c r="J88" i="13"/>
  <c r="I88" i="13"/>
  <c r="G88" i="13"/>
  <c r="F88" i="13"/>
  <c r="E88" i="13"/>
  <c r="N87" i="13"/>
  <c r="L87" i="13"/>
  <c r="K87" i="13"/>
  <c r="J87" i="13"/>
  <c r="I87" i="13"/>
  <c r="G87" i="13"/>
  <c r="F87" i="13"/>
  <c r="E87" i="13"/>
  <c r="N86" i="13"/>
  <c r="L86" i="13"/>
  <c r="K86" i="13"/>
  <c r="J86" i="13"/>
  <c r="I86" i="13"/>
  <c r="G86" i="13"/>
  <c r="F86" i="13"/>
  <c r="E86" i="13"/>
  <c r="N85" i="13"/>
  <c r="L85" i="13"/>
  <c r="K85" i="13"/>
  <c r="J85" i="13"/>
  <c r="I85" i="13"/>
  <c r="G85" i="13"/>
  <c r="F85" i="13"/>
  <c r="E85" i="13"/>
  <c r="N84" i="13"/>
  <c r="L84" i="13"/>
  <c r="K84" i="13"/>
  <c r="J84" i="13"/>
  <c r="I84" i="13"/>
  <c r="G84" i="13"/>
  <c r="F84" i="13"/>
  <c r="E84" i="13"/>
  <c r="N83" i="13"/>
  <c r="L83" i="13"/>
  <c r="K83" i="13"/>
  <c r="J83" i="13"/>
  <c r="I83" i="13"/>
  <c r="G83" i="13"/>
  <c r="F83" i="13"/>
  <c r="E83" i="13"/>
  <c r="N82" i="13"/>
  <c r="L82" i="13"/>
  <c r="K82" i="13"/>
  <c r="J82" i="13"/>
  <c r="I82" i="13"/>
  <c r="G82" i="13"/>
  <c r="F82" i="13"/>
  <c r="E82" i="13"/>
  <c r="N81" i="13"/>
  <c r="L81" i="13"/>
  <c r="K81" i="13"/>
  <c r="J81" i="13"/>
  <c r="I81" i="13"/>
  <c r="G81" i="13"/>
  <c r="F81" i="13"/>
  <c r="E81" i="13"/>
  <c r="N80" i="13"/>
  <c r="L80" i="13"/>
  <c r="K80" i="13"/>
  <c r="J80" i="13"/>
  <c r="I80" i="13"/>
  <c r="G80" i="13"/>
  <c r="F80" i="13"/>
  <c r="E80" i="13"/>
  <c r="N79" i="13"/>
  <c r="L79" i="13"/>
  <c r="K79" i="13"/>
  <c r="J79" i="13"/>
  <c r="I79" i="13"/>
  <c r="G79" i="13"/>
  <c r="F79" i="13"/>
  <c r="E79" i="13"/>
  <c r="L78" i="13"/>
  <c r="K78" i="13"/>
  <c r="J78" i="13"/>
  <c r="I78" i="13"/>
  <c r="G78" i="13"/>
  <c r="F78" i="13"/>
  <c r="L77" i="13"/>
  <c r="K77" i="13"/>
  <c r="J77" i="13"/>
  <c r="I77" i="13"/>
  <c r="G77" i="13"/>
  <c r="F77" i="13"/>
  <c r="L76" i="13"/>
  <c r="K76" i="13"/>
  <c r="J76" i="13"/>
  <c r="I76" i="13"/>
  <c r="G76" i="13"/>
  <c r="F76" i="13"/>
  <c r="L75" i="13"/>
  <c r="K75" i="13"/>
  <c r="J75" i="13"/>
  <c r="I75" i="13"/>
  <c r="G75" i="13"/>
  <c r="F75" i="13"/>
  <c r="H71" i="13"/>
  <c r="P71" i="13" s="1"/>
  <c r="P70" i="13"/>
  <c r="H70" i="13"/>
  <c r="M70" i="13" s="1"/>
  <c r="Q70" i="13" s="1"/>
  <c r="H69" i="13"/>
  <c r="H68" i="13"/>
  <c r="M68" i="13" s="1"/>
  <c r="Q68" i="13" s="1"/>
  <c r="H67" i="13"/>
  <c r="M67" i="13" s="1"/>
  <c r="Q67" i="13" s="1"/>
  <c r="H66" i="13"/>
  <c r="P66" i="13" s="1"/>
  <c r="H65" i="13"/>
  <c r="H64" i="13"/>
  <c r="M64" i="13" s="1"/>
  <c r="Q64" i="13" s="1"/>
  <c r="H63" i="13"/>
  <c r="M63" i="13" s="1"/>
  <c r="Q63" i="13" s="1"/>
  <c r="H62" i="13"/>
  <c r="H61" i="13"/>
  <c r="H60" i="13"/>
  <c r="M60" i="13" s="1"/>
  <c r="Q60" i="13" s="1"/>
  <c r="H59" i="13"/>
  <c r="M59" i="13" s="1"/>
  <c r="Q59" i="13" s="1"/>
  <c r="H58" i="13"/>
  <c r="M58" i="13" s="1"/>
  <c r="Q58" i="13" s="1"/>
  <c r="H57" i="13"/>
  <c r="M57" i="13" s="1"/>
  <c r="Q57" i="13" s="1"/>
  <c r="H56" i="13"/>
  <c r="P56" i="13" s="1"/>
  <c r="H55" i="13"/>
  <c r="M55" i="13" s="1"/>
  <c r="H54" i="13"/>
  <c r="M54" i="13" s="1"/>
  <c r="Q54" i="13" s="1"/>
  <c r="H53" i="13"/>
  <c r="M53" i="13" s="1"/>
  <c r="Q53" i="13" s="1"/>
  <c r="H52" i="13"/>
  <c r="P52" i="13" s="1"/>
  <c r="H51" i="13"/>
  <c r="H50" i="13"/>
  <c r="M50" i="13" s="1"/>
  <c r="Q50" i="13" s="1"/>
  <c r="H49" i="13"/>
  <c r="M49" i="13" s="1"/>
  <c r="Q49" i="13" s="1"/>
  <c r="H48" i="13"/>
  <c r="P48" i="13" s="1"/>
  <c r="H47" i="13"/>
  <c r="M47" i="13" s="1"/>
  <c r="Q47" i="13" s="1"/>
  <c r="H46" i="13"/>
  <c r="M46" i="13" s="1"/>
  <c r="Q46" i="13" s="1"/>
  <c r="H45" i="13"/>
  <c r="M45" i="13" s="1"/>
  <c r="Q45" i="13" s="1"/>
  <c r="H44" i="13"/>
  <c r="P44" i="13" s="1"/>
  <c r="H43" i="13"/>
  <c r="M43" i="13" s="1"/>
  <c r="Q43" i="13" s="1"/>
  <c r="H42" i="13"/>
  <c r="M42" i="13" s="1"/>
  <c r="Q42" i="13" s="1"/>
  <c r="H41" i="13"/>
  <c r="M41" i="13" s="1"/>
  <c r="Q41" i="13" s="1"/>
  <c r="H40" i="13"/>
  <c r="H89" i="13" s="1"/>
  <c r="H39" i="13"/>
  <c r="H38" i="13"/>
  <c r="M38" i="13" s="1"/>
  <c r="Q38" i="13" s="1"/>
  <c r="H37" i="13"/>
  <c r="M37" i="13" s="1"/>
  <c r="Q37" i="13" s="1"/>
  <c r="H36" i="13"/>
  <c r="P36" i="13" s="1"/>
  <c r="H35" i="13"/>
  <c r="M35" i="13" s="1"/>
  <c r="Q35" i="13" s="1"/>
  <c r="H34" i="13"/>
  <c r="P34" i="13" s="1"/>
  <c r="H33" i="13"/>
  <c r="M33" i="13" s="1"/>
  <c r="Q33" i="13" s="1"/>
  <c r="H32" i="13"/>
  <c r="M32" i="13" s="1"/>
  <c r="Q32" i="13" s="1"/>
  <c r="H31" i="13"/>
  <c r="M31" i="13" s="1"/>
  <c r="Q31" i="13" s="1"/>
  <c r="H30" i="13"/>
  <c r="P30" i="13" s="1"/>
  <c r="H29" i="13"/>
  <c r="M29" i="13" s="1"/>
  <c r="Q29" i="13" s="1"/>
  <c r="H28" i="13"/>
  <c r="H27" i="13"/>
  <c r="H26" i="13"/>
  <c r="M26" i="13" s="1"/>
  <c r="Q26" i="13" s="1"/>
  <c r="H25" i="13"/>
  <c r="M25" i="13" s="1"/>
  <c r="Q25" i="13" s="1"/>
  <c r="H24" i="13"/>
  <c r="P24" i="13" s="1"/>
  <c r="P23" i="13"/>
  <c r="H23" i="13"/>
  <c r="M23" i="13" s="1"/>
  <c r="Q23" i="13" s="1"/>
  <c r="H22" i="13"/>
  <c r="P22" i="13" s="1"/>
  <c r="H21" i="13"/>
  <c r="M21" i="13" s="1"/>
  <c r="Q21" i="13" s="1"/>
  <c r="P20" i="13"/>
  <c r="H20" i="13"/>
  <c r="M20" i="13" s="1"/>
  <c r="Q20" i="13" s="1"/>
  <c r="H19" i="13"/>
  <c r="M19" i="13" s="1"/>
  <c r="Q19" i="13" s="1"/>
  <c r="H18" i="13"/>
  <c r="M18" i="13" s="1"/>
  <c r="Q18" i="13" s="1"/>
  <c r="N17" i="13"/>
  <c r="N78" i="13" s="1"/>
  <c r="M17" i="13"/>
  <c r="H17" i="13"/>
  <c r="E17" i="13"/>
  <c r="E78" i="13" s="1"/>
  <c r="Q16" i="13"/>
  <c r="P16" i="13"/>
  <c r="N15" i="13"/>
  <c r="N77" i="13" s="1"/>
  <c r="M15" i="13"/>
  <c r="H15" i="13"/>
  <c r="E15" i="13"/>
  <c r="E77" i="13" s="1"/>
  <c r="Q14" i="13"/>
  <c r="P14" i="13"/>
  <c r="N13" i="13"/>
  <c r="N76" i="13" s="1"/>
  <c r="M13" i="13"/>
  <c r="H13" i="13"/>
  <c r="E13" i="13"/>
  <c r="E76" i="13" s="1"/>
  <c r="Q12" i="13"/>
  <c r="P12" i="13"/>
  <c r="Q11" i="13"/>
  <c r="P11" i="13"/>
  <c r="N10" i="13"/>
  <c r="N75" i="13" s="1"/>
  <c r="M10" i="13"/>
  <c r="H10" i="13"/>
  <c r="E10" i="13"/>
  <c r="E75" i="13" s="1"/>
  <c r="Q9" i="13"/>
  <c r="P9" i="13"/>
  <c r="Q8" i="13"/>
  <c r="P8" i="13"/>
  <c r="I3" i="13"/>
  <c r="F2" i="13"/>
  <c r="N1" i="13"/>
  <c r="G1" i="13"/>
  <c r="B1" i="13"/>
  <c r="L123" i="12"/>
  <c r="G123" i="12"/>
  <c r="L122" i="12"/>
  <c r="G122" i="12"/>
  <c r="L121" i="12"/>
  <c r="G121" i="12"/>
  <c r="L120" i="12"/>
  <c r="G120" i="12"/>
  <c r="L119" i="12"/>
  <c r="G119" i="12"/>
  <c r="L118" i="12"/>
  <c r="G118" i="12"/>
  <c r="L117" i="12"/>
  <c r="G117" i="12"/>
  <c r="N114" i="12"/>
  <c r="L114" i="12"/>
  <c r="K114" i="12"/>
  <c r="J114" i="12"/>
  <c r="I114" i="12"/>
  <c r="G114" i="12"/>
  <c r="F114" i="12"/>
  <c r="E114" i="12"/>
  <c r="N113" i="12"/>
  <c r="L113" i="12"/>
  <c r="K113" i="12"/>
  <c r="J113" i="12"/>
  <c r="I113" i="12"/>
  <c r="G113" i="12"/>
  <c r="F113" i="12"/>
  <c r="E113" i="12"/>
  <c r="N112" i="12"/>
  <c r="L112" i="12"/>
  <c r="K112" i="12"/>
  <c r="J112" i="12"/>
  <c r="I112" i="12"/>
  <c r="G112" i="12"/>
  <c r="F112" i="12"/>
  <c r="E112" i="12"/>
  <c r="N111" i="12"/>
  <c r="L111" i="12"/>
  <c r="K111" i="12"/>
  <c r="J111" i="12"/>
  <c r="I111" i="12"/>
  <c r="G111" i="12"/>
  <c r="F111" i="12"/>
  <c r="E111" i="12"/>
  <c r="N110" i="12"/>
  <c r="L110" i="12"/>
  <c r="K110" i="12"/>
  <c r="J110" i="12"/>
  <c r="I110" i="12"/>
  <c r="G110" i="12"/>
  <c r="F110" i="12"/>
  <c r="E110" i="12"/>
  <c r="N109" i="12"/>
  <c r="L109" i="12"/>
  <c r="K109" i="12"/>
  <c r="J109" i="12"/>
  <c r="I109" i="12"/>
  <c r="G109" i="12"/>
  <c r="F109" i="12"/>
  <c r="E109" i="12"/>
  <c r="N108" i="12"/>
  <c r="L108" i="12"/>
  <c r="K108" i="12"/>
  <c r="J108" i="12"/>
  <c r="I108" i="12"/>
  <c r="G108" i="12"/>
  <c r="F108" i="12"/>
  <c r="E108" i="12"/>
  <c r="N107" i="12"/>
  <c r="L107" i="12"/>
  <c r="K107" i="12"/>
  <c r="J107" i="12"/>
  <c r="I107" i="12"/>
  <c r="G107" i="12"/>
  <c r="F107" i="12"/>
  <c r="E107" i="12"/>
  <c r="N106" i="12"/>
  <c r="L106" i="12"/>
  <c r="K106" i="12"/>
  <c r="J106" i="12"/>
  <c r="I106" i="12"/>
  <c r="G106" i="12"/>
  <c r="F106" i="12"/>
  <c r="E106" i="12"/>
  <c r="N105" i="12"/>
  <c r="L105" i="12"/>
  <c r="K105" i="12"/>
  <c r="J105" i="12"/>
  <c r="I105" i="12"/>
  <c r="G105" i="12"/>
  <c r="F105" i="12"/>
  <c r="E105" i="12"/>
  <c r="N104" i="12"/>
  <c r="L104" i="12"/>
  <c r="K104" i="12"/>
  <c r="J104" i="12"/>
  <c r="I104" i="12"/>
  <c r="G104" i="12"/>
  <c r="F104" i="12"/>
  <c r="E104" i="12"/>
  <c r="N103" i="12"/>
  <c r="L103" i="12"/>
  <c r="K103" i="12"/>
  <c r="J103" i="12"/>
  <c r="I103" i="12"/>
  <c r="G103" i="12"/>
  <c r="F103" i="12"/>
  <c r="E103" i="12"/>
  <c r="N102" i="12"/>
  <c r="L102" i="12"/>
  <c r="K102" i="12"/>
  <c r="J102" i="12"/>
  <c r="I102" i="12"/>
  <c r="G102" i="12"/>
  <c r="F102" i="12"/>
  <c r="E102" i="12"/>
  <c r="N101" i="12"/>
  <c r="L101" i="12"/>
  <c r="K101" i="12"/>
  <c r="J101" i="12"/>
  <c r="I101" i="12"/>
  <c r="G101" i="12"/>
  <c r="F101" i="12"/>
  <c r="E101" i="12"/>
  <c r="N100" i="12"/>
  <c r="L100" i="12"/>
  <c r="K100" i="12"/>
  <c r="J100" i="12"/>
  <c r="I100" i="12"/>
  <c r="G100" i="12"/>
  <c r="F100" i="12"/>
  <c r="E100" i="12"/>
  <c r="N99" i="12"/>
  <c r="L99" i="12"/>
  <c r="K99" i="12"/>
  <c r="J99" i="12"/>
  <c r="I99" i="12"/>
  <c r="G99" i="12"/>
  <c r="F99" i="12"/>
  <c r="E99" i="12"/>
  <c r="N98" i="12"/>
  <c r="L98" i="12"/>
  <c r="K98" i="12"/>
  <c r="J98" i="12"/>
  <c r="I98" i="12"/>
  <c r="G98" i="12"/>
  <c r="F98" i="12"/>
  <c r="E98" i="12"/>
  <c r="N97" i="12"/>
  <c r="L97" i="12"/>
  <c r="K97" i="12"/>
  <c r="J97" i="12"/>
  <c r="I97" i="12"/>
  <c r="G97" i="12"/>
  <c r="F97" i="12"/>
  <c r="E97" i="12"/>
  <c r="N96" i="12"/>
  <c r="L96" i="12"/>
  <c r="K96" i="12"/>
  <c r="J96" i="12"/>
  <c r="I96" i="12"/>
  <c r="G96" i="12"/>
  <c r="F96" i="12"/>
  <c r="E96" i="12"/>
  <c r="N95" i="12"/>
  <c r="L95" i="12"/>
  <c r="K95" i="12"/>
  <c r="J95" i="12"/>
  <c r="I95" i="12"/>
  <c r="G95" i="12"/>
  <c r="F95" i="12"/>
  <c r="E95" i="12"/>
  <c r="N94" i="12"/>
  <c r="L94" i="12"/>
  <c r="K94" i="12"/>
  <c r="J94" i="12"/>
  <c r="I94" i="12"/>
  <c r="G94" i="12"/>
  <c r="F94" i="12"/>
  <c r="E94" i="12"/>
  <c r="N93" i="12"/>
  <c r="L93" i="12"/>
  <c r="K93" i="12"/>
  <c r="J93" i="12"/>
  <c r="I93" i="12"/>
  <c r="G93" i="12"/>
  <c r="F93" i="12"/>
  <c r="E93" i="12"/>
  <c r="N92" i="12"/>
  <c r="L92" i="12"/>
  <c r="K92" i="12"/>
  <c r="J92" i="12"/>
  <c r="I92" i="12"/>
  <c r="G92" i="12"/>
  <c r="F92" i="12"/>
  <c r="E92" i="12"/>
  <c r="N91" i="12"/>
  <c r="L91" i="12"/>
  <c r="K91" i="12"/>
  <c r="J91" i="12"/>
  <c r="I91" i="12"/>
  <c r="G91" i="12"/>
  <c r="F91" i="12"/>
  <c r="E91" i="12"/>
  <c r="L90" i="12"/>
  <c r="K90" i="12"/>
  <c r="J90" i="12"/>
  <c r="I90" i="12"/>
  <c r="G90" i="12"/>
  <c r="F90" i="12"/>
  <c r="L89" i="12"/>
  <c r="K89" i="12"/>
  <c r="J89" i="12"/>
  <c r="I89" i="12"/>
  <c r="G89" i="12"/>
  <c r="F89" i="12"/>
  <c r="L88" i="12"/>
  <c r="K88" i="12"/>
  <c r="J88" i="12"/>
  <c r="I88" i="12"/>
  <c r="G88" i="12"/>
  <c r="F88" i="12"/>
  <c r="L87" i="12"/>
  <c r="K87" i="12"/>
  <c r="J87" i="12"/>
  <c r="I87" i="12"/>
  <c r="G87" i="12"/>
  <c r="F87" i="12"/>
  <c r="H83" i="12"/>
  <c r="P83" i="12" s="1"/>
  <c r="H82" i="12"/>
  <c r="M82" i="12" s="1"/>
  <c r="Q82" i="12" s="1"/>
  <c r="H81" i="12"/>
  <c r="P81" i="12" s="1"/>
  <c r="H80" i="12"/>
  <c r="P80" i="12" s="1"/>
  <c r="H79" i="12"/>
  <c r="P79" i="12" s="1"/>
  <c r="H78" i="12"/>
  <c r="M78" i="12" s="1"/>
  <c r="Q78" i="12" s="1"/>
  <c r="H77" i="12"/>
  <c r="P77" i="12" s="1"/>
  <c r="H76" i="12"/>
  <c r="P76" i="12" s="1"/>
  <c r="H75" i="12"/>
  <c r="P75" i="12" s="1"/>
  <c r="H74" i="12"/>
  <c r="H73" i="12"/>
  <c r="P73" i="12" s="1"/>
  <c r="H72" i="12"/>
  <c r="P72" i="12" s="1"/>
  <c r="H71" i="12"/>
  <c r="P71" i="12" s="1"/>
  <c r="H70" i="12"/>
  <c r="P70" i="12" s="1"/>
  <c r="H69" i="12"/>
  <c r="P69" i="12" s="1"/>
  <c r="H68" i="12"/>
  <c r="P68" i="12" s="1"/>
  <c r="H67" i="12"/>
  <c r="P67" i="12" s="1"/>
  <c r="P66" i="12"/>
  <c r="H66" i="12"/>
  <c r="M66" i="12" s="1"/>
  <c r="Q66" i="12" s="1"/>
  <c r="H65" i="12"/>
  <c r="P65" i="12" s="1"/>
  <c r="H64" i="12"/>
  <c r="M64" i="12" s="1"/>
  <c r="Q64" i="12" s="1"/>
  <c r="H63" i="12"/>
  <c r="M63" i="12" s="1"/>
  <c r="Q63" i="12" s="1"/>
  <c r="H62" i="12"/>
  <c r="M62" i="12" s="1"/>
  <c r="Q62" i="12" s="1"/>
  <c r="P61" i="12"/>
  <c r="H61" i="12"/>
  <c r="M61" i="12" s="1"/>
  <c r="Q61" i="12" s="1"/>
  <c r="H60" i="12"/>
  <c r="P60" i="12" s="1"/>
  <c r="H59" i="12"/>
  <c r="P59" i="12" s="1"/>
  <c r="H58" i="12"/>
  <c r="H57" i="12"/>
  <c r="P57" i="12" s="1"/>
  <c r="P56" i="12"/>
  <c r="H56" i="12"/>
  <c r="M56" i="12" s="1"/>
  <c r="Q56" i="12" s="1"/>
  <c r="P55" i="12"/>
  <c r="H55" i="12"/>
  <c r="M55" i="12" s="1"/>
  <c r="Q55" i="12" s="1"/>
  <c r="H54" i="12"/>
  <c r="P54" i="12" s="1"/>
  <c r="H53" i="12"/>
  <c r="M53" i="12" s="1"/>
  <c r="Q53" i="12" s="1"/>
  <c r="H52" i="12"/>
  <c r="H51" i="12"/>
  <c r="H50" i="12"/>
  <c r="M50" i="12" s="1"/>
  <c r="Q50" i="12" s="1"/>
  <c r="H49" i="12"/>
  <c r="P49" i="12" s="1"/>
  <c r="H48" i="12"/>
  <c r="P48" i="12" s="1"/>
  <c r="H47" i="12"/>
  <c r="P47" i="12" s="1"/>
  <c r="H46" i="12"/>
  <c r="M46" i="12" s="1"/>
  <c r="Q46" i="12" s="1"/>
  <c r="H45" i="12"/>
  <c r="P45" i="12" s="1"/>
  <c r="H44" i="12"/>
  <c r="P44" i="12" s="1"/>
  <c r="H43" i="12"/>
  <c r="M43" i="12" s="1"/>
  <c r="Q43" i="12" s="1"/>
  <c r="H42" i="12"/>
  <c r="H41" i="12"/>
  <c r="P41" i="12" s="1"/>
  <c r="P40" i="12"/>
  <c r="H40" i="12"/>
  <c r="M40" i="12" s="1"/>
  <c r="H39" i="12"/>
  <c r="M39" i="12" s="1"/>
  <c r="Q39" i="12" s="1"/>
  <c r="H38" i="12"/>
  <c r="P38" i="12" s="1"/>
  <c r="M37" i="12"/>
  <c r="Q37" i="12" s="1"/>
  <c r="H37" i="12"/>
  <c r="P37" i="12" s="1"/>
  <c r="H36" i="12"/>
  <c r="P36" i="12" s="1"/>
  <c r="H35" i="12"/>
  <c r="P34" i="12"/>
  <c r="H34" i="12"/>
  <c r="M34" i="12" s="1"/>
  <c r="Q34" i="12" s="1"/>
  <c r="H33" i="12"/>
  <c r="M33" i="12" s="1"/>
  <c r="Q33" i="12" s="1"/>
  <c r="H32" i="12"/>
  <c r="P32" i="12" s="1"/>
  <c r="H31" i="12"/>
  <c r="P31" i="12" s="1"/>
  <c r="H30" i="12"/>
  <c r="M30" i="12" s="1"/>
  <c r="Q30" i="12" s="1"/>
  <c r="H29" i="12"/>
  <c r="P29" i="12" s="1"/>
  <c r="M28" i="12"/>
  <c r="H28" i="12"/>
  <c r="H27" i="12"/>
  <c r="P27" i="12" s="1"/>
  <c r="H26" i="12"/>
  <c r="P26" i="12" s="1"/>
  <c r="H25" i="12"/>
  <c r="P25" i="12" s="1"/>
  <c r="H24" i="12"/>
  <c r="P24" i="12" s="1"/>
  <c r="H23" i="12"/>
  <c r="P23" i="12" s="1"/>
  <c r="H22" i="12"/>
  <c r="P22" i="12" s="1"/>
  <c r="H21" i="12"/>
  <c r="P21" i="12" s="1"/>
  <c r="H20" i="12"/>
  <c r="P20" i="12" s="1"/>
  <c r="H19" i="12"/>
  <c r="P19" i="12" s="1"/>
  <c r="H18" i="12"/>
  <c r="N17" i="12"/>
  <c r="N90" i="12" s="1"/>
  <c r="M17" i="12"/>
  <c r="M90" i="12" s="1"/>
  <c r="H17" i="12"/>
  <c r="H90" i="12" s="1"/>
  <c r="E17" i="12"/>
  <c r="E90" i="12" s="1"/>
  <c r="Q16" i="12"/>
  <c r="P16" i="12"/>
  <c r="N15" i="12"/>
  <c r="N89" i="12" s="1"/>
  <c r="M15" i="12"/>
  <c r="M89" i="12" s="1"/>
  <c r="H15" i="12"/>
  <c r="H89" i="12" s="1"/>
  <c r="E15" i="12"/>
  <c r="E89" i="12" s="1"/>
  <c r="Q14" i="12"/>
  <c r="P14" i="12"/>
  <c r="N13" i="12"/>
  <c r="N88" i="12" s="1"/>
  <c r="M13" i="12"/>
  <c r="H13" i="12"/>
  <c r="E13" i="12"/>
  <c r="E88" i="12" s="1"/>
  <c r="Q12" i="12"/>
  <c r="P12" i="12"/>
  <c r="Q11" i="12"/>
  <c r="P11" i="12"/>
  <c r="N10" i="12"/>
  <c r="N87" i="12" s="1"/>
  <c r="M10" i="12"/>
  <c r="M87" i="12" s="1"/>
  <c r="H10" i="12"/>
  <c r="E10" i="12"/>
  <c r="E87" i="12" s="1"/>
  <c r="Q9" i="12"/>
  <c r="P9" i="12"/>
  <c r="Q8" i="12"/>
  <c r="P8" i="12"/>
  <c r="I3" i="12"/>
  <c r="F2" i="12"/>
  <c r="N1" i="12"/>
  <c r="G1" i="12"/>
  <c r="B1" i="12"/>
  <c r="L165" i="11"/>
  <c r="G165" i="11"/>
  <c r="L164" i="11"/>
  <c r="G164" i="11"/>
  <c r="L163" i="11"/>
  <c r="G163" i="11"/>
  <c r="L162" i="11"/>
  <c r="G162" i="11"/>
  <c r="L161" i="11"/>
  <c r="G161" i="11"/>
  <c r="L160" i="11"/>
  <c r="G160" i="11"/>
  <c r="L159" i="11"/>
  <c r="G159" i="11"/>
  <c r="L157" i="11" a="1"/>
  <c r="L157" i="11" s="1"/>
  <c r="G157" i="11" a="1"/>
  <c r="G157" i="11" s="1"/>
  <c r="L156" i="11" a="1"/>
  <c r="L156" i="11" s="1"/>
  <c r="G156" i="11" a="1"/>
  <c r="G156" i="11"/>
  <c r="L155" i="11" a="1"/>
  <c r="L155" i="11" s="1"/>
  <c r="G155" i="11" a="1"/>
  <c r="G155" i="11" s="1"/>
  <c r="L153" i="11"/>
  <c r="G153" i="11"/>
  <c r="L152" i="11"/>
  <c r="G152" i="11"/>
  <c r="L148" i="11"/>
  <c r="G148" i="11"/>
  <c r="L147" i="11"/>
  <c r="G147" i="11"/>
  <c r="L138" i="11"/>
  <c r="K138" i="11"/>
  <c r="J138" i="11"/>
  <c r="I138" i="11"/>
  <c r="G138" i="11"/>
  <c r="F138" i="11"/>
  <c r="L137" i="11"/>
  <c r="G137" i="11"/>
  <c r="L128" i="11"/>
  <c r="K128" i="11"/>
  <c r="J128" i="11"/>
  <c r="I128" i="11"/>
  <c r="G128" i="11"/>
  <c r="F128" i="11"/>
  <c r="L127" i="11"/>
  <c r="G127" i="11"/>
  <c r="L126" i="11"/>
  <c r="G126" i="11"/>
  <c r="L125" i="11"/>
  <c r="G125" i="11"/>
  <c r="Q115" i="11"/>
  <c r="P115" i="11"/>
  <c r="Q114" i="11"/>
  <c r="P114" i="11"/>
  <c r="Q113" i="11"/>
  <c r="P113" i="11"/>
  <c r="Q112" i="11"/>
  <c r="P112" i="11"/>
  <c r="Q111" i="11"/>
  <c r="P111" i="11"/>
  <c r="Q110" i="11"/>
  <c r="P110" i="11"/>
  <c r="Q109" i="11"/>
  <c r="P109" i="11"/>
  <c r="Q108" i="11"/>
  <c r="P108" i="11"/>
  <c r="Q106" i="11"/>
  <c r="P106" i="11"/>
  <c r="Q105" i="11"/>
  <c r="P105" i="11"/>
  <c r="Q104" i="11"/>
  <c r="P104" i="11"/>
  <c r="Q103" i="11"/>
  <c r="P103" i="11"/>
  <c r="Q101" i="11"/>
  <c r="P101" i="11"/>
  <c r="Q100" i="11"/>
  <c r="P100" i="11"/>
  <c r="Q99" i="11"/>
  <c r="P99" i="11"/>
  <c r="Q98" i="11"/>
  <c r="P98" i="11"/>
  <c r="Q97" i="11"/>
  <c r="P97" i="11"/>
  <c r="Q96" i="11"/>
  <c r="P96" i="11"/>
  <c r="Q95" i="11"/>
  <c r="P95" i="11"/>
  <c r="Q94" i="11"/>
  <c r="P94" i="11"/>
  <c r="Q93" i="11"/>
  <c r="P93" i="11"/>
  <c r="Q92" i="11"/>
  <c r="P92" i="11"/>
  <c r="Q91" i="11"/>
  <c r="P91" i="11"/>
  <c r="Q90" i="11"/>
  <c r="P90" i="11"/>
  <c r="Q89" i="11"/>
  <c r="P89" i="11"/>
  <c r="Q88" i="11"/>
  <c r="P88" i="11"/>
  <c r="Q87" i="11"/>
  <c r="P87" i="11"/>
  <c r="Q86" i="11"/>
  <c r="P86" i="11"/>
  <c r="Q85" i="11"/>
  <c r="P85" i="11"/>
  <c r="Q84" i="11"/>
  <c r="P84" i="11"/>
  <c r="Q83" i="11"/>
  <c r="P83" i="11"/>
  <c r="H79" i="11"/>
  <c r="H78" i="11"/>
  <c r="H77" i="11"/>
  <c r="H76" i="11"/>
  <c r="M76" i="11" s="1"/>
  <c r="Q76" i="11" s="1"/>
  <c r="H75" i="11"/>
  <c r="H74" i="11"/>
  <c r="H73" i="11"/>
  <c r="K71" i="11"/>
  <c r="J71" i="11"/>
  <c r="I71" i="11"/>
  <c r="I41" i="16" s="1"/>
  <c r="I56" i="16" s="1"/>
  <c r="F71" i="11"/>
  <c r="F41" i="16" s="1"/>
  <c r="F56" i="16" s="1"/>
  <c r="E71" i="11"/>
  <c r="E41" i="16" s="1"/>
  <c r="E56" i="16" s="1"/>
  <c r="L70" i="11"/>
  <c r="L145" i="11" s="1"/>
  <c r="G70" i="11"/>
  <c r="L69" i="11"/>
  <c r="L144" i="11" s="1"/>
  <c r="G69" i="11"/>
  <c r="G144" i="11" s="1"/>
  <c r="L68" i="11"/>
  <c r="L143" i="11" s="1"/>
  <c r="G68" i="11"/>
  <c r="G143" i="11" s="1"/>
  <c r="L67" i="11"/>
  <c r="L142" i="11" s="1"/>
  <c r="G67" i="11"/>
  <c r="H67" i="11" s="1"/>
  <c r="N67" i="11" s="1"/>
  <c r="L66" i="11"/>
  <c r="L141" i="11" s="1"/>
  <c r="L65" i="11"/>
  <c r="L140" i="11" s="1"/>
  <c r="G65" i="11"/>
  <c r="G140" i="11" s="1"/>
  <c r="L139" i="11"/>
  <c r="G64" i="11"/>
  <c r="G139" i="11" s="1"/>
  <c r="K63" i="11"/>
  <c r="K28" i="16" s="1"/>
  <c r="K55" i="16" s="1"/>
  <c r="J63" i="11"/>
  <c r="I63" i="11"/>
  <c r="I28" i="16" s="1"/>
  <c r="I55" i="16" s="1"/>
  <c r="F63" i="11"/>
  <c r="F28" i="16" s="1"/>
  <c r="F55" i="16" s="1"/>
  <c r="E63" i="11"/>
  <c r="K62" i="11"/>
  <c r="K145" i="11" s="1"/>
  <c r="J62" i="11"/>
  <c r="J145" i="11" s="1"/>
  <c r="I62" i="11"/>
  <c r="I145" i="11" s="1"/>
  <c r="F62" i="11"/>
  <c r="F145" i="11" s="1"/>
  <c r="E62" i="11"/>
  <c r="E145" i="11" s="1"/>
  <c r="K61" i="11"/>
  <c r="K144" i="11" s="1"/>
  <c r="J61" i="11"/>
  <c r="J144" i="11" s="1"/>
  <c r="I61" i="11"/>
  <c r="I144" i="11" s="1"/>
  <c r="F144" i="11"/>
  <c r="E61" i="11"/>
  <c r="E144" i="11" s="1"/>
  <c r="H60" i="11"/>
  <c r="H59" i="11"/>
  <c r="H58" i="11"/>
  <c r="N58" i="11" s="1"/>
  <c r="H57" i="11"/>
  <c r="H56" i="11"/>
  <c r="K55" i="11"/>
  <c r="K143" i="11" s="1"/>
  <c r="J55" i="11"/>
  <c r="I55" i="11"/>
  <c r="I148" i="11" s="1"/>
  <c r="F55" i="11"/>
  <c r="F148" i="11" s="1"/>
  <c r="E55" i="11"/>
  <c r="E148" i="11" s="1"/>
  <c r="N54" i="11"/>
  <c r="N142" i="11" s="1"/>
  <c r="K54" i="11"/>
  <c r="K142" i="11" s="1"/>
  <c r="J54" i="11"/>
  <c r="J142" i="11" s="1"/>
  <c r="I54" i="11"/>
  <c r="I142" i="11" s="1"/>
  <c r="F54" i="11"/>
  <c r="F142" i="11" s="1"/>
  <c r="E54" i="11"/>
  <c r="E142" i="11" s="1"/>
  <c r="K53" i="11"/>
  <c r="K141" i="11" s="1"/>
  <c r="J53" i="11"/>
  <c r="J141" i="11" s="1"/>
  <c r="I53" i="11"/>
  <c r="I141" i="11" s="1"/>
  <c r="F53" i="11"/>
  <c r="F141" i="11" s="1"/>
  <c r="E53" i="11"/>
  <c r="E141" i="11" s="1"/>
  <c r="K52" i="11"/>
  <c r="K140" i="11" s="1"/>
  <c r="J52" i="11"/>
  <c r="J140" i="11" s="1"/>
  <c r="I52" i="11"/>
  <c r="I140" i="11" s="1"/>
  <c r="F52" i="11"/>
  <c r="F140" i="11" s="1"/>
  <c r="E52" i="11"/>
  <c r="E140" i="11" s="1"/>
  <c r="K51" i="11"/>
  <c r="K139" i="11" s="1"/>
  <c r="J51" i="11"/>
  <c r="J139" i="11" s="1"/>
  <c r="I51" i="11"/>
  <c r="I139" i="11" s="1"/>
  <c r="F51" i="11"/>
  <c r="F139" i="11" s="1"/>
  <c r="E51" i="11"/>
  <c r="E139" i="11" s="1"/>
  <c r="N50" i="11"/>
  <c r="N138" i="11" s="1"/>
  <c r="E50" i="11"/>
  <c r="L49" i="11"/>
  <c r="K23" i="4" s="1"/>
  <c r="K52" i="4" s="1"/>
  <c r="G49" i="11"/>
  <c r="G63" i="11" s="1"/>
  <c r="H48" i="11"/>
  <c r="H47" i="11"/>
  <c r="H46" i="11"/>
  <c r="H45" i="11"/>
  <c r="H44" i="11"/>
  <c r="H43" i="11"/>
  <c r="H42" i="11"/>
  <c r="N42" i="11" s="1"/>
  <c r="H41" i="11"/>
  <c r="I22" i="16"/>
  <c r="I51" i="16" s="1"/>
  <c r="F40" i="11"/>
  <c r="E40" i="11"/>
  <c r="L39" i="11"/>
  <c r="G39" i="11"/>
  <c r="G135" i="11" s="1"/>
  <c r="L38" i="11"/>
  <c r="G38" i="11"/>
  <c r="G134" i="11" s="1"/>
  <c r="L37" i="11"/>
  <c r="G37" i="11"/>
  <c r="H37" i="11" s="1"/>
  <c r="N37" i="11" s="1"/>
  <c r="L36" i="11"/>
  <c r="L132" i="11" s="1"/>
  <c r="G36" i="11"/>
  <c r="L35" i="11"/>
  <c r="G35" i="11"/>
  <c r="G131" i="11" s="1"/>
  <c r="L34" i="11"/>
  <c r="G34" i="11"/>
  <c r="L33" i="11"/>
  <c r="G33" i="11"/>
  <c r="H33" i="11" s="1"/>
  <c r="N33" i="11" s="1"/>
  <c r="Q32" i="11"/>
  <c r="P32" i="11"/>
  <c r="K31" i="11"/>
  <c r="K9" i="16" s="1"/>
  <c r="K50" i="16" s="1"/>
  <c r="J31" i="11"/>
  <c r="I31" i="11"/>
  <c r="F31" i="11"/>
  <c r="E31" i="11"/>
  <c r="K30" i="11"/>
  <c r="K135" i="11" s="1"/>
  <c r="J30" i="11"/>
  <c r="J135" i="11" s="1"/>
  <c r="I30" i="11"/>
  <c r="I135" i="11" s="1"/>
  <c r="F135" i="11"/>
  <c r="E135" i="11"/>
  <c r="K29" i="11"/>
  <c r="K134" i="11" s="1"/>
  <c r="J29" i="11"/>
  <c r="J134" i="11" s="1"/>
  <c r="I29" i="11"/>
  <c r="I134" i="11" s="1"/>
  <c r="F134" i="11"/>
  <c r="E134" i="11"/>
  <c r="K28" i="11"/>
  <c r="K133" i="11" s="1"/>
  <c r="J28" i="11"/>
  <c r="J133" i="11" s="1"/>
  <c r="I28" i="11"/>
  <c r="I133" i="11" s="1"/>
  <c r="F133" i="11"/>
  <c r="E133" i="11"/>
  <c r="K27" i="11"/>
  <c r="K132" i="11" s="1"/>
  <c r="J27" i="11"/>
  <c r="J132" i="11" s="1"/>
  <c r="I27" i="11"/>
  <c r="I132" i="11" s="1"/>
  <c r="F132" i="11"/>
  <c r="E132" i="11"/>
  <c r="K26" i="11"/>
  <c r="K131" i="11" s="1"/>
  <c r="J26" i="11"/>
  <c r="J131" i="11" s="1"/>
  <c r="I26" i="11"/>
  <c r="I131" i="11" s="1"/>
  <c r="F131" i="11"/>
  <c r="E131" i="11"/>
  <c r="K25" i="11"/>
  <c r="K130" i="11" s="1"/>
  <c r="J25" i="11"/>
  <c r="J130" i="11" s="1"/>
  <c r="I25" i="11"/>
  <c r="I130" i="11" s="1"/>
  <c r="F130" i="11"/>
  <c r="E130" i="11"/>
  <c r="K24" i="11"/>
  <c r="K129" i="11" s="1"/>
  <c r="J24" i="11"/>
  <c r="J129" i="11" s="1"/>
  <c r="I24" i="11"/>
  <c r="I129" i="11" s="1"/>
  <c r="F129" i="11"/>
  <c r="E129" i="11"/>
  <c r="E128" i="11"/>
  <c r="L22" i="11"/>
  <c r="L31" i="11" s="1"/>
  <c r="G22" i="11"/>
  <c r="F17" i="4" s="1"/>
  <c r="C13" i="20" s="1"/>
  <c r="H21" i="11"/>
  <c r="H20" i="11"/>
  <c r="N20" i="11" s="1"/>
  <c r="H19" i="11"/>
  <c r="H18" i="11"/>
  <c r="N18" i="11" s="1"/>
  <c r="K17" i="11"/>
  <c r="K127" i="11" s="1"/>
  <c r="J17" i="11"/>
  <c r="J127" i="11" s="1"/>
  <c r="I17" i="11"/>
  <c r="I127" i="11" s="1"/>
  <c r="F17" i="11"/>
  <c r="F127" i="11" s="1"/>
  <c r="E17" i="11"/>
  <c r="E127" i="11" s="1"/>
  <c r="H16" i="11"/>
  <c r="H15" i="11"/>
  <c r="H14" i="11"/>
  <c r="H13" i="11"/>
  <c r="H12" i="11"/>
  <c r="H11" i="11"/>
  <c r="K10" i="11"/>
  <c r="K126" i="11" s="1"/>
  <c r="J10" i="11"/>
  <c r="I10" i="11"/>
  <c r="I126" i="11" s="1"/>
  <c r="F10" i="11"/>
  <c r="F126" i="11" s="1"/>
  <c r="E10" i="11"/>
  <c r="E126" i="11" s="1"/>
  <c r="I3" i="11"/>
  <c r="F2" i="11"/>
  <c r="N1" i="11"/>
  <c r="G1" i="11"/>
  <c r="B1" i="11"/>
  <c r="L72" i="10"/>
  <c r="G72" i="10"/>
  <c r="L71" i="10"/>
  <c r="G71" i="10"/>
  <c r="L70" i="10"/>
  <c r="G70" i="10"/>
  <c r="L69" i="10"/>
  <c r="G69" i="10"/>
  <c r="L68" i="10"/>
  <c r="G68" i="10"/>
  <c r="L67" i="10"/>
  <c r="G67" i="10"/>
  <c r="L66" i="10"/>
  <c r="G66" i="10"/>
  <c r="L65" i="10"/>
  <c r="G65" i="10"/>
  <c r="L63" i="10"/>
  <c r="G63" i="10"/>
  <c r="L62" i="10"/>
  <c r="G62" i="10"/>
  <c r="L61" i="10" a="1"/>
  <c r="L61" i="10" s="1"/>
  <c r="G61" i="10" a="1"/>
  <c r="G61" i="10" s="1"/>
  <c r="L59" i="10"/>
  <c r="G59" i="10"/>
  <c r="L58" i="10"/>
  <c r="G58" i="10"/>
  <c r="N55" i="10"/>
  <c r="M55" i="10"/>
  <c r="L55" i="10"/>
  <c r="K55" i="10"/>
  <c r="J55" i="10"/>
  <c r="I55" i="10"/>
  <c r="H55" i="10"/>
  <c r="G55" i="10"/>
  <c r="F55" i="10"/>
  <c r="E55" i="10"/>
  <c r="N54" i="10"/>
  <c r="M54" i="10"/>
  <c r="L54" i="10"/>
  <c r="K54" i="10"/>
  <c r="J54" i="10"/>
  <c r="I54" i="10"/>
  <c r="H54" i="10"/>
  <c r="G54" i="10"/>
  <c r="F54" i="10"/>
  <c r="E54" i="10"/>
  <c r="N53" i="10"/>
  <c r="M53" i="10"/>
  <c r="L53" i="10"/>
  <c r="K53" i="10"/>
  <c r="J53" i="10"/>
  <c r="I53" i="10"/>
  <c r="H53" i="10"/>
  <c r="G53" i="10"/>
  <c r="F53" i="10"/>
  <c r="E53" i="10"/>
  <c r="N52" i="10"/>
  <c r="M52" i="10"/>
  <c r="L52" i="10"/>
  <c r="K52" i="10"/>
  <c r="J52" i="10"/>
  <c r="I52" i="10"/>
  <c r="H52" i="10"/>
  <c r="G52" i="10"/>
  <c r="F52" i="10"/>
  <c r="E52" i="10"/>
  <c r="N51" i="10"/>
  <c r="M51" i="10"/>
  <c r="L51" i="10"/>
  <c r="K51" i="10"/>
  <c r="J51" i="10"/>
  <c r="I51" i="10"/>
  <c r="H51" i="10"/>
  <c r="G51" i="10"/>
  <c r="F51" i="10"/>
  <c r="E51" i="10"/>
  <c r="N50" i="10"/>
  <c r="M50" i="10"/>
  <c r="L50" i="10"/>
  <c r="K50" i="10"/>
  <c r="J50" i="10"/>
  <c r="I50" i="10"/>
  <c r="H50" i="10"/>
  <c r="G50" i="10"/>
  <c r="F50" i="10"/>
  <c r="E50" i="10"/>
  <c r="N49" i="10"/>
  <c r="M49" i="10"/>
  <c r="L49" i="10"/>
  <c r="K49" i="10"/>
  <c r="J49" i="10"/>
  <c r="I49" i="10"/>
  <c r="H49" i="10"/>
  <c r="G49" i="10"/>
  <c r="F49" i="10"/>
  <c r="E49" i="10"/>
  <c r="N48" i="10"/>
  <c r="M48" i="10"/>
  <c r="L48" i="10"/>
  <c r="K48" i="10"/>
  <c r="J48" i="10"/>
  <c r="I48" i="10"/>
  <c r="H48" i="10"/>
  <c r="G48" i="10"/>
  <c r="F48" i="10"/>
  <c r="E48" i="10"/>
  <c r="N47" i="10"/>
  <c r="M47" i="10"/>
  <c r="L47" i="10"/>
  <c r="K47" i="10"/>
  <c r="J47" i="10"/>
  <c r="I47" i="10"/>
  <c r="H47" i="10"/>
  <c r="G47" i="10"/>
  <c r="F47" i="10"/>
  <c r="E47" i="10"/>
  <c r="N46" i="10"/>
  <c r="M46" i="10"/>
  <c r="L46" i="10"/>
  <c r="K46" i="10"/>
  <c r="J46" i="10"/>
  <c r="I46" i="10"/>
  <c r="H46" i="10"/>
  <c r="G46" i="10"/>
  <c r="F46" i="10"/>
  <c r="E46" i="10"/>
  <c r="Q41" i="10"/>
  <c r="P41" i="10"/>
  <c r="Q40" i="10"/>
  <c r="P40" i="10"/>
  <c r="Q39" i="10"/>
  <c r="P39" i="10"/>
  <c r="Q38" i="10"/>
  <c r="P38" i="10"/>
  <c r="Q37" i="10"/>
  <c r="P37" i="10"/>
  <c r="Q36" i="10"/>
  <c r="P36" i="10"/>
  <c r="Q35" i="10"/>
  <c r="P35" i="10"/>
  <c r="Q34" i="10"/>
  <c r="P34" i="10"/>
  <c r="Q33" i="10"/>
  <c r="P33" i="10"/>
  <c r="Q32" i="10"/>
  <c r="P32" i="10"/>
  <c r="Q31" i="10"/>
  <c r="P31" i="10"/>
  <c r="Q30" i="10"/>
  <c r="P30" i="10"/>
  <c r="Q29" i="10"/>
  <c r="P29" i="10"/>
  <c r="Q28" i="10"/>
  <c r="P28" i="10"/>
  <c r="Q27" i="10"/>
  <c r="P27" i="10"/>
  <c r="Q26" i="10"/>
  <c r="P26" i="10"/>
  <c r="Q25" i="10"/>
  <c r="P25" i="10"/>
  <c r="Q24" i="10"/>
  <c r="P24" i="10"/>
  <c r="Q23" i="10"/>
  <c r="P23" i="10"/>
  <c r="Q22" i="10"/>
  <c r="P22" i="10"/>
  <c r="Q21" i="10"/>
  <c r="P21" i="10"/>
  <c r="Q20" i="10"/>
  <c r="P20" i="10"/>
  <c r="Q19" i="10"/>
  <c r="P19" i="10"/>
  <c r="Q18" i="10"/>
  <c r="P18" i="10"/>
  <c r="Q17" i="10"/>
  <c r="P17" i="10"/>
  <c r="Q16" i="10"/>
  <c r="P16" i="10"/>
  <c r="Q15" i="10"/>
  <c r="P15" i="10"/>
  <c r="Q14" i="10"/>
  <c r="P14" i="10"/>
  <c r="Q13" i="10"/>
  <c r="P13" i="10"/>
  <c r="Q12" i="10"/>
  <c r="P12" i="10"/>
  <c r="Q11" i="10"/>
  <c r="P11" i="10"/>
  <c r="Q10" i="10"/>
  <c r="P10" i="10"/>
  <c r="Q9" i="10"/>
  <c r="P9" i="10"/>
  <c r="N8" i="10"/>
  <c r="N45" i="10" s="1"/>
  <c r="M8" i="10"/>
  <c r="M45" i="10" s="1"/>
  <c r="L20" i="21" s="1"/>
  <c r="L8" i="10"/>
  <c r="K8" i="10"/>
  <c r="K45" i="10" s="1"/>
  <c r="J20" i="21" s="1"/>
  <c r="J8" i="10"/>
  <c r="J45" i="10" s="1"/>
  <c r="I45" i="10"/>
  <c r="I20" i="21" s="1"/>
  <c r="H8" i="10"/>
  <c r="G8" i="10"/>
  <c r="C24" i="20" s="1"/>
  <c r="F8" i="10"/>
  <c r="F45" i="10" s="1"/>
  <c r="E20" i="21" s="1"/>
  <c r="E8" i="10"/>
  <c r="E45" i="10" s="1"/>
  <c r="D20" i="21" s="1"/>
  <c r="I3" i="10"/>
  <c r="F2" i="10"/>
  <c r="N1" i="10"/>
  <c r="G1" i="10"/>
  <c r="B1" i="10"/>
  <c r="L72" i="9"/>
  <c r="G72" i="9"/>
  <c r="L71" i="9"/>
  <c r="G71" i="9"/>
  <c r="L70" i="9"/>
  <c r="G70" i="9"/>
  <c r="L69" i="9"/>
  <c r="G69" i="9"/>
  <c r="L68" i="9"/>
  <c r="G68" i="9"/>
  <c r="L67" i="9"/>
  <c r="G67" i="9"/>
  <c r="L66" i="9"/>
  <c r="G66" i="9"/>
  <c r="L65" i="9"/>
  <c r="G65" i="9"/>
  <c r="L63" i="9"/>
  <c r="G63" i="9"/>
  <c r="L62" i="9"/>
  <c r="G62" i="9"/>
  <c r="L61" i="9" a="1"/>
  <c r="L61" i="9" s="1"/>
  <c r="G61" i="9" a="1"/>
  <c r="G61" i="9" s="1"/>
  <c r="L59" i="9"/>
  <c r="G59" i="9"/>
  <c r="L58" i="9"/>
  <c r="G58" i="9"/>
  <c r="N55" i="9"/>
  <c r="M55" i="9"/>
  <c r="L55" i="9"/>
  <c r="K55" i="9"/>
  <c r="J55" i="9"/>
  <c r="I55" i="9"/>
  <c r="H55" i="9"/>
  <c r="G55" i="9"/>
  <c r="F55" i="9"/>
  <c r="E55" i="9"/>
  <c r="N54" i="9"/>
  <c r="M54" i="9"/>
  <c r="L54" i="9"/>
  <c r="K54" i="9"/>
  <c r="J54" i="9"/>
  <c r="I54" i="9"/>
  <c r="H54" i="9"/>
  <c r="G54" i="9"/>
  <c r="F54" i="9"/>
  <c r="E54" i="9"/>
  <c r="N53" i="9"/>
  <c r="M53" i="9"/>
  <c r="L53" i="9"/>
  <c r="K53" i="9"/>
  <c r="J53" i="9"/>
  <c r="I53" i="9"/>
  <c r="H53" i="9"/>
  <c r="G53" i="9"/>
  <c r="F53" i="9"/>
  <c r="E53" i="9"/>
  <c r="N52" i="9"/>
  <c r="M52" i="9"/>
  <c r="L52" i="9"/>
  <c r="K52" i="9"/>
  <c r="J52" i="9"/>
  <c r="I52" i="9"/>
  <c r="H52" i="9"/>
  <c r="G52" i="9"/>
  <c r="F52" i="9"/>
  <c r="E52" i="9"/>
  <c r="N51" i="9"/>
  <c r="M51" i="9"/>
  <c r="L51" i="9"/>
  <c r="K51" i="9"/>
  <c r="J51" i="9"/>
  <c r="I51" i="9"/>
  <c r="H51" i="9"/>
  <c r="G51" i="9"/>
  <c r="F51" i="9"/>
  <c r="E51" i="9"/>
  <c r="N50" i="9"/>
  <c r="M50" i="9"/>
  <c r="L50" i="9"/>
  <c r="K50" i="9"/>
  <c r="J50" i="9"/>
  <c r="I50" i="9"/>
  <c r="H50" i="9"/>
  <c r="G50" i="9"/>
  <c r="F50" i="9"/>
  <c r="E50" i="9"/>
  <c r="N49" i="9"/>
  <c r="M49" i="9"/>
  <c r="L49" i="9"/>
  <c r="K49" i="9"/>
  <c r="J49" i="9"/>
  <c r="I49" i="9"/>
  <c r="H49" i="9"/>
  <c r="G49" i="9"/>
  <c r="F49" i="9"/>
  <c r="E49" i="9"/>
  <c r="N48" i="9"/>
  <c r="M48" i="9"/>
  <c r="L48" i="9"/>
  <c r="K48" i="9"/>
  <c r="J48" i="9"/>
  <c r="I48" i="9"/>
  <c r="H48" i="9"/>
  <c r="G48" i="9"/>
  <c r="F48" i="9"/>
  <c r="E48" i="9"/>
  <c r="N47" i="9"/>
  <c r="M47" i="9"/>
  <c r="L47" i="9"/>
  <c r="K47" i="9"/>
  <c r="J47" i="9"/>
  <c r="I47" i="9"/>
  <c r="H47" i="9"/>
  <c r="G47" i="9"/>
  <c r="F47" i="9"/>
  <c r="E47" i="9"/>
  <c r="N46" i="9"/>
  <c r="M46" i="9"/>
  <c r="L46" i="9"/>
  <c r="K46" i="9"/>
  <c r="J46" i="9"/>
  <c r="I46" i="9"/>
  <c r="H46" i="9"/>
  <c r="G46" i="9"/>
  <c r="F46" i="9"/>
  <c r="E46" i="9"/>
  <c r="Q41" i="9"/>
  <c r="P41" i="9"/>
  <c r="Q40" i="9"/>
  <c r="P40" i="9"/>
  <c r="Q39" i="9"/>
  <c r="P39" i="9"/>
  <c r="Q38" i="9"/>
  <c r="P38" i="9"/>
  <c r="Q37" i="9"/>
  <c r="P37" i="9"/>
  <c r="Q36" i="9"/>
  <c r="P36" i="9"/>
  <c r="Q35" i="9"/>
  <c r="P35" i="9"/>
  <c r="Q34" i="9"/>
  <c r="P34" i="9"/>
  <c r="Q33" i="9"/>
  <c r="P33" i="9"/>
  <c r="Q32" i="9"/>
  <c r="P32" i="9"/>
  <c r="Q31" i="9"/>
  <c r="P31" i="9"/>
  <c r="Q30" i="9"/>
  <c r="P30" i="9"/>
  <c r="Q29" i="9"/>
  <c r="P29" i="9"/>
  <c r="Q28" i="9"/>
  <c r="P28" i="9"/>
  <c r="Q27" i="9"/>
  <c r="P27" i="9"/>
  <c r="Q26" i="9"/>
  <c r="P26" i="9"/>
  <c r="Q25" i="9"/>
  <c r="P25" i="9"/>
  <c r="Q24" i="9"/>
  <c r="P24" i="9"/>
  <c r="Q23" i="9"/>
  <c r="P23" i="9"/>
  <c r="Q22" i="9"/>
  <c r="P22" i="9"/>
  <c r="Q21" i="9"/>
  <c r="P21" i="9"/>
  <c r="Q20" i="9"/>
  <c r="P20" i="9"/>
  <c r="Q19" i="9"/>
  <c r="P19" i="9"/>
  <c r="Q18" i="9"/>
  <c r="P18" i="9"/>
  <c r="Q17" i="9"/>
  <c r="P17" i="9"/>
  <c r="Q16" i="9"/>
  <c r="P16" i="9"/>
  <c r="Q15" i="9"/>
  <c r="P15" i="9"/>
  <c r="Q14" i="9"/>
  <c r="P14" i="9"/>
  <c r="Q13" i="9"/>
  <c r="P13" i="9"/>
  <c r="Q12" i="9"/>
  <c r="P12" i="9"/>
  <c r="Q11" i="9"/>
  <c r="P11" i="9"/>
  <c r="Q10" i="9"/>
  <c r="P10" i="9"/>
  <c r="Q9" i="9"/>
  <c r="P9" i="9"/>
  <c r="N8" i="9"/>
  <c r="N45" i="9" s="1"/>
  <c r="M8" i="9"/>
  <c r="L8" i="9"/>
  <c r="D21" i="20" s="1"/>
  <c r="K8" i="9"/>
  <c r="K45" i="9" s="1"/>
  <c r="J19" i="21" s="1"/>
  <c r="J8" i="9"/>
  <c r="J45" i="9" s="1"/>
  <c r="H8" i="9"/>
  <c r="G8" i="9"/>
  <c r="C21" i="20" s="1"/>
  <c r="F8" i="9"/>
  <c r="F45" i="9" s="1"/>
  <c r="E19" i="21" s="1"/>
  <c r="E8" i="9"/>
  <c r="I3" i="9"/>
  <c r="F2" i="9"/>
  <c r="N1" i="9"/>
  <c r="G1" i="9"/>
  <c r="B1" i="9"/>
  <c r="L161" i="8"/>
  <c r="G161" i="8"/>
  <c r="L160" i="8"/>
  <c r="G160" i="8"/>
  <c r="L158" i="8"/>
  <c r="G158" i="8"/>
  <c r="L157" i="8"/>
  <c r="G157" i="8"/>
  <c r="L156" i="8"/>
  <c r="G156" i="8"/>
  <c r="L155" i="8"/>
  <c r="G155" i="8"/>
  <c r="L154" i="8"/>
  <c r="G154" i="8"/>
  <c r="L152" i="8" a="1"/>
  <c r="L152" i="8" s="1"/>
  <c r="G152" i="8" a="1"/>
  <c r="G152" i="8" s="1"/>
  <c r="L151" i="8" a="1"/>
  <c r="L151" i="8" s="1"/>
  <c r="G151" i="8" a="1"/>
  <c r="G151" i="8" s="1"/>
  <c r="L150" i="8" a="1"/>
  <c r="L150" i="8" s="1"/>
  <c r="G150" i="8" a="1"/>
  <c r="G150" i="8" s="1"/>
  <c r="L148" i="8"/>
  <c r="G148" i="8"/>
  <c r="L147" i="8"/>
  <c r="G147" i="8"/>
  <c r="L139" i="8"/>
  <c r="G139" i="8"/>
  <c r="N137" i="8"/>
  <c r="M137" i="8"/>
  <c r="L137" i="8"/>
  <c r="K137" i="8"/>
  <c r="J137" i="8"/>
  <c r="I137" i="8"/>
  <c r="H137" i="8"/>
  <c r="G137" i="8"/>
  <c r="F137" i="8"/>
  <c r="E137" i="8"/>
  <c r="N134" i="8"/>
  <c r="M134" i="8"/>
  <c r="L134" i="8"/>
  <c r="K134" i="8"/>
  <c r="J134" i="8"/>
  <c r="I134" i="8"/>
  <c r="H134" i="8"/>
  <c r="G134" i="8"/>
  <c r="F134" i="8"/>
  <c r="E134" i="8"/>
  <c r="N133" i="8"/>
  <c r="M133" i="8"/>
  <c r="L133" i="8"/>
  <c r="K133" i="8"/>
  <c r="J133" i="8"/>
  <c r="I133" i="8"/>
  <c r="H133" i="8"/>
  <c r="G133" i="8"/>
  <c r="F133" i="8"/>
  <c r="E133" i="8"/>
  <c r="L132" i="8"/>
  <c r="G132" i="8"/>
  <c r="L131" i="8"/>
  <c r="G131" i="8"/>
  <c r="L123" i="8"/>
  <c r="L122" i="8"/>
  <c r="K122" i="8"/>
  <c r="J122" i="8"/>
  <c r="I122" i="8"/>
  <c r="G122" i="8"/>
  <c r="F122" i="8"/>
  <c r="L121" i="8"/>
  <c r="G121" i="8"/>
  <c r="L112" i="8"/>
  <c r="K112" i="8"/>
  <c r="J112" i="8"/>
  <c r="I112" i="8"/>
  <c r="G112" i="8"/>
  <c r="F112" i="8"/>
  <c r="L111" i="8"/>
  <c r="G111" i="8"/>
  <c r="L110" i="8"/>
  <c r="G110" i="8"/>
  <c r="L104" i="8"/>
  <c r="G104" i="8"/>
  <c r="L99" i="8"/>
  <c r="L141" i="8" s="1"/>
  <c r="G99" i="8"/>
  <c r="G141" i="8" s="1"/>
  <c r="Q97" i="8"/>
  <c r="P97" i="8"/>
  <c r="L96" i="8"/>
  <c r="L138" i="8" s="1"/>
  <c r="G96" i="8"/>
  <c r="G138" i="8" s="1"/>
  <c r="Q94" i="8"/>
  <c r="P94" i="8"/>
  <c r="Q93" i="8"/>
  <c r="P93" i="8"/>
  <c r="Q92" i="8"/>
  <c r="P92" i="8"/>
  <c r="Q91" i="8"/>
  <c r="P91" i="8"/>
  <c r="Q90" i="8"/>
  <c r="P90" i="8"/>
  <c r="L89" i="8"/>
  <c r="L136" i="8" s="1"/>
  <c r="K89" i="8"/>
  <c r="K135" i="8" s="1"/>
  <c r="J89" i="8"/>
  <c r="J135" i="8" s="1"/>
  <c r="I89" i="8"/>
  <c r="I135" i="8" s="1"/>
  <c r="G89" i="8"/>
  <c r="G135" i="8" s="1"/>
  <c r="F89" i="8"/>
  <c r="F135" i="8" s="1"/>
  <c r="E89" i="8"/>
  <c r="E135" i="8" s="1"/>
  <c r="Q88" i="8"/>
  <c r="P88" i="8"/>
  <c r="Q87" i="8"/>
  <c r="P87" i="8"/>
  <c r="Q86" i="8"/>
  <c r="P86" i="8"/>
  <c r="Q85" i="8"/>
  <c r="P85" i="8"/>
  <c r="Q84" i="8"/>
  <c r="P84" i="8"/>
  <c r="Q83" i="8"/>
  <c r="P83" i="8"/>
  <c r="Q82" i="8"/>
  <c r="P82" i="8"/>
  <c r="Q81" i="8"/>
  <c r="P81" i="8"/>
  <c r="H79" i="8"/>
  <c r="N79" i="8" s="1"/>
  <c r="H78" i="8"/>
  <c r="N78" i="8" s="1"/>
  <c r="H77" i="8"/>
  <c r="H76" i="8"/>
  <c r="N76" i="8" s="1"/>
  <c r="H75" i="8"/>
  <c r="H74" i="8"/>
  <c r="N74" i="8" s="1"/>
  <c r="H73" i="8"/>
  <c r="H72" i="8"/>
  <c r="N72" i="8" s="1"/>
  <c r="K71" i="8"/>
  <c r="J71" i="8"/>
  <c r="J28" i="15" s="1"/>
  <c r="J55" i="15" s="1"/>
  <c r="I71" i="8"/>
  <c r="H38" i="2" s="1"/>
  <c r="F71" i="8"/>
  <c r="E71" i="8"/>
  <c r="L70" i="8"/>
  <c r="L129" i="8" s="1"/>
  <c r="G70" i="8"/>
  <c r="L69" i="8"/>
  <c r="L128" i="8" s="1"/>
  <c r="G69" i="8"/>
  <c r="H69" i="8" s="1"/>
  <c r="N69" i="8" s="1"/>
  <c r="N61" i="8" s="1"/>
  <c r="N128" i="8" s="1"/>
  <c r="L68" i="8"/>
  <c r="L127" i="8" s="1"/>
  <c r="G68" i="8"/>
  <c r="G127" i="8" s="1"/>
  <c r="L67" i="8"/>
  <c r="L126" i="8" s="1"/>
  <c r="G67" i="8"/>
  <c r="L66" i="8"/>
  <c r="L125" i="8" s="1"/>
  <c r="G66" i="8"/>
  <c r="L65" i="8"/>
  <c r="L124" i="8" s="1"/>
  <c r="G65" i="8"/>
  <c r="H65" i="8" s="1"/>
  <c r="N65" i="8" s="1"/>
  <c r="N52" i="8" s="1"/>
  <c r="L64" i="8"/>
  <c r="G64" i="8"/>
  <c r="K62" i="8"/>
  <c r="K129" i="8" s="1"/>
  <c r="J62" i="8"/>
  <c r="J129" i="8" s="1"/>
  <c r="I62" i="8"/>
  <c r="I129" i="8" s="1"/>
  <c r="F62" i="8"/>
  <c r="F129" i="8" s="1"/>
  <c r="E62" i="8"/>
  <c r="E129" i="8" s="1"/>
  <c r="K61" i="8"/>
  <c r="K128" i="8" s="1"/>
  <c r="J61" i="8"/>
  <c r="J128" i="8" s="1"/>
  <c r="I61" i="8"/>
  <c r="I128" i="8" s="1"/>
  <c r="F61" i="8"/>
  <c r="F128" i="8" s="1"/>
  <c r="E61" i="8"/>
  <c r="E128" i="8" s="1"/>
  <c r="H60" i="8"/>
  <c r="N60" i="8" s="1"/>
  <c r="H59" i="8"/>
  <c r="H58" i="8"/>
  <c r="N58" i="8" s="1"/>
  <c r="P57" i="8"/>
  <c r="H57" i="8"/>
  <c r="H56" i="8"/>
  <c r="N56" i="8" s="1"/>
  <c r="K55" i="8"/>
  <c r="K96" i="8" s="1"/>
  <c r="J55" i="8"/>
  <c r="I55" i="8"/>
  <c r="I132" i="8" s="1"/>
  <c r="F55" i="8"/>
  <c r="F127" i="8" s="1"/>
  <c r="E55" i="8"/>
  <c r="E96" i="8" s="1"/>
  <c r="K54" i="8"/>
  <c r="K126" i="8" s="1"/>
  <c r="J54" i="8"/>
  <c r="J126" i="8" s="1"/>
  <c r="I54" i="8"/>
  <c r="I126" i="8" s="1"/>
  <c r="F54" i="8"/>
  <c r="F126" i="8" s="1"/>
  <c r="E54" i="8"/>
  <c r="E126" i="8" s="1"/>
  <c r="K53" i="8"/>
  <c r="K125" i="8" s="1"/>
  <c r="J53" i="8"/>
  <c r="J125" i="8" s="1"/>
  <c r="I53" i="8"/>
  <c r="I125" i="8" s="1"/>
  <c r="F53" i="8"/>
  <c r="F125" i="8" s="1"/>
  <c r="E53" i="8"/>
  <c r="E125" i="8" s="1"/>
  <c r="K52" i="8"/>
  <c r="K124" i="8" s="1"/>
  <c r="J52" i="8"/>
  <c r="J124" i="8" s="1"/>
  <c r="I52" i="8"/>
  <c r="I124" i="8" s="1"/>
  <c r="F52" i="8"/>
  <c r="E52" i="8"/>
  <c r="K51" i="8"/>
  <c r="J51" i="8"/>
  <c r="J123" i="8" s="1"/>
  <c r="I51" i="8"/>
  <c r="I123" i="8" s="1"/>
  <c r="F51" i="8"/>
  <c r="E51" i="8"/>
  <c r="E123" i="8" s="1"/>
  <c r="E50" i="8"/>
  <c r="L49" i="8"/>
  <c r="L27" i="15" s="1"/>
  <c r="G49" i="8"/>
  <c r="F21" i="4" s="1"/>
  <c r="F49" i="4" s="1"/>
  <c r="H48" i="8"/>
  <c r="N48" i="8" s="1"/>
  <c r="H47" i="8"/>
  <c r="H46" i="8"/>
  <c r="N46" i="8" s="1"/>
  <c r="H45" i="8"/>
  <c r="H44" i="8"/>
  <c r="N44" i="8" s="1"/>
  <c r="H43" i="8"/>
  <c r="H42" i="8"/>
  <c r="N42" i="8" s="1"/>
  <c r="M41" i="8"/>
  <c r="H41" i="8"/>
  <c r="K40" i="8"/>
  <c r="J35" i="2" s="1"/>
  <c r="J40" i="8"/>
  <c r="I40" i="8"/>
  <c r="I22" i="15" s="1"/>
  <c r="I51" i="15" s="1"/>
  <c r="F40" i="8"/>
  <c r="F22" i="15" s="1"/>
  <c r="F51" i="15" s="1"/>
  <c r="E40" i="8"/>
  <c r="E22" i="15" s="1"/>
  <c r="E51" i="15" s="1"/>
  <c r="L39" i="8"/>
  <c r="G39" i="8"/>
  <c r="H39" i="8" s="1"/>
  <c r="N39" i="8" s="1"/>
  <c r="L38" i="8"/>
  <c r="D134" i="20" s="1"/>
  <c r="G38" i="8"/>
  <c r="L37" i="8"/>
  <c r="L117" i="8" s="1"/>
  <c r="G37" i="8"/>
  <c r="L36" i="8"/>
  <c r="G36" i="8"/>
  <c r="G116" i="8" s="1"/>
  <c r="L35" i="8"/>
  <c r="G35" i="8"/>
  <c r="H35" i="8" s="1"/>
  <c r="L34" i="8"/>
  <c r="G34" i="8"/>
  <c r="L33" i="8"/>
  <c r="G33" i="8"/>
  <c r="G82" i="3" s="1"/>
  <c r="Q32" i="8"/>
  <c r="P32" i="8"/>
  <c r="K31" i="8"/>
  <c r="J34" i="2" s="1"/>
  <c r="J31" i="8"/>
  <c r="I34" i="2" s="1"/>
  <c r="I31" i="8"/>
  <c r="H34" i="2" s="1"/>
  <c r="F31" i="8"/>
  <c r="E31" i="8"/>
  <c r="D34" i="2" s="1"/>
  <c r="K30" i="8"/>
  <c r="K119" i="8" s="1"/>
  <c r="J30" i="8"/>
  <c r="J119" i="8" s="1"/>
  <c r="I30" i="8"/>
  <c r="I119" i="8" s="1"/>
  <c r="F30" i="8"/>
  <c r="F119" i="8" s="1"/>
  <c r="E30" i="8"/>
  <c r="E119" i="8" s="1"/>
  <c r="K29" i="8"/>
  <c r="K118" i="8" s="1"/>
  <c r="J29" i="8"/>
  <c r="J118" i="8" s="1"/>
  <c r="I29" i="8"/>
  <c r="I118" i="8" s="1"/>
  <c r="F29" i="8"/>
  <c r="F118" i="8" s="1"/>
  <c r="E29" i="8"/>
  <c r="E118" i="8" s="1"/>
  <c r="K28" i="8"/>
  <c r="K117" i="8" s="1"/>
  <c r="J28" i="8"/>
  <c r="J117" i="8" s="1"/>
  <c r="I28" i="8"/>
  <c r="I117" i="8" s="1"/>
  <c r="F28" i="8"/>
  <c r="F117" i="8" s="1"/>
  <c r="E28" i="8"/>
  <c r="E117" i="8" s="1"/>
  <c r="K27" i="8"/>
  <c r="K116" i="8" s="1"/>
  <c r="J27" i="8"/>
  <c r="J116" i="8" s="1"/>
  <c r="I27" i="8"/>
  <c r="I116" i="8" s="1"/>
  <c r="F27" i="8"/>
  <c r="F116" i="8" s="1"/>
  <c r="E27" i="8"/>
  <c r="E116" i="8" s="1"/>
  <c r="K26" i="8"/>
  <c r="K115" i="8" s="1"/>
  <c r="J26" i="8"/>
  <c r="J115" i="8" s="1"/>
  <c r="I26" i="8"/>
  <c r="I115" i="8" s="1"/>
  <c r="F26" i="8"/>
  <c r="F115" i="8" s="1"/>
  <c r="E26" i="8"/>
  <c r="E115" i="8" s="1"/>
  <c r="K25" i="8"/>
  <c r="K114" i="8" s="1"/>
  <c r="J25" i="8"/>
  <c r="J114" i="8" s="1"/>
  <c r="I25" i="8"/>
  <c r="I114" i="8" s="1"/>
  <c r="F25" i="8"/>
  <c r="F114" i="8" s="1"/>
  <c r="E25" i="8"/>
  <c r="E114" i="8" s="1"/>
  <c r="K24" i="8"/>
  <c r="K113" i="8" s="1"/>
  <c r="J24" i="8"/>
  <c r="J113" i="8" s="1"/>
  <c r="I24" i="8"/>
  <c r="I113" i="8" s="1"/>
  <c r="F24" i="8"/>
  <c r="F81" i="3" s="1"/>
  <c r="E24" i="8"/>
  <c r="E113" i="8" s="1"/>
  <c r="H23" i="8"/>
  <c r="E23" i="8"/>
  <c r="L22" i="8"/>
  <c r="L106" i="8" s="1"/>
  <c r="G22" i="8"/>
  <c r="F15" i="4" s="1"/>
  <c r="C70" i="20" s="1"/>
  <c r="H21" i="8"/>
  <c r="H20" i="8"/>
  <c r="H19" i="8"/>
  <c r="N19" i="8" s="1"/>
  <c r="H18" i="8"/>
  <c r="K17" i="8"/>
  <c r="K111" i="8" s="1"/>
  <c r="J17" i="8"/>
  <c r="I29" i="2" s="1"/>
  <c r="I17" i="8"/>
  <c r="I78" i="3" s="1"/>
  <c r="F17" i="8"/>
  <c r="F111" i="8" s="1"/>
  <c r="E17" i="8"/>
  <c r="E111" i="8" s="1"/>
  <c r="H16" i="8"/>
  <c r="H15" i="8"/>
  <c r="H14" i="8"/>
  <c r="H13" i="8"/>
  <c r="N13" i="8" s="1"/>
  <c r="H12" i="8"/>
  <c r="H11" i="8"/>
  <c r="N11" i="8" s="1"/>
  <c r="K10" i="8"/>
  <c r="K110" i="8" s="1"/>
  <c r="J10" i="8"/>
  <c r="J110" i="8" s="1"/>
  <c r="I10" i="8"/>
  <c r="I110" i="8" s="1"/>
  <c r="F10" i="8"/>
  <c r="F110" i="8" s="1"/>
  <c r="E10" i="8"/>
  <c r="D26" i="2" s="1"/>
  <c r="I3" i="8"/>
  <c r="F2" i="8"/>
  <c r="N1" i="8"/>
  <c r="G1" i="8"/>
  <c r="B1" i="8"/>
  <c r="L114" i="7" a="1"/>
  <c r="L114" i="7" s="1"/>
  <c r="G114" i="7" a="1"/>
  <c r="G114" i="7" s="1"/>
  <c r="L113" i="7"/>
  <c r="G113" i="7"/>
  <c r="L112" i="7" a="1"/>
  <c r="L112" i="7" s="1"/>
  <c r="G112" i="7" a="1"/>
  <c r="G112" i="7" s="1"/>
  <c r="L111" i="7" a="1"/>
  <c r="L111" i="7" s="1"/>
  <c r="G111" i="7" a="1"/>
  <c r="G111" i="7" s="1"/>
  <c r="L110" i="7" a="1"/>
  <c r="L110" i="7" s="1"/>
  <c r="G110" i="7" a="1"/>
  <c r="G110" i="7" s="1"/>
  <c r="L109" i="7" a="1"/>
  <c r="L109" i="7" s="1"/>
  <c r="G109" i="7" a="1"/>
  <c r="G109" i="7" s="1"/>
  <c r="L108" i="7" a="1"/>
  <c r="L108" i="7" s="1"/>
  <c r="G108" i="7" a="1"/>
  <c r="G108" i="7" s="1"/>
  <c r="L107" i="7" a="1"/>
  <c r="L107" i="7" s="1"/>
  <c r="G107" i="7" a="1"/>
  <c r="G107" i="7" s="1"/>
  <c r="N99" i="7"/>
  <c r="M99" i="7"/>
  <c r="L99" i="7"/>
  <c r="K99" i="7"/>
  <c r="J99" i="7"/>
  <c r="I99" i="7"/>
  <c r="H99" i="7"/>
  <c r="G99" i="7"/>
  <c r="F99" i="7"/>
  <c r="E99" i="7"/>
  <c r="L97" i="7"/>
  <c r="G97" i="7"/>
  <c r="L94" i="7"/>
  <c r="G94" i="7"/>
  <c r="L93" i="7"/>
  <c r="G93" i="7"/>
  <c r="L92" i="7"/>
  <c r="G92" i="7"/>
  <c r="L90" i="7"/>
  <c r="G90" i="7"/>
  <c r="L86" i="7"/>
  <c r="G86" i="7"/>
  <c r="Q80" i="7"/>
  <c r="P80" i="7"/>
  <c r="Q79" i="7"/>
  <c r="P79" i="7"/>
  <c r="Q78" i="7"/>
  <c r="P78" i="7"/>
  <c r="Q77" i="7"/>
  <c r="P77" i="7"/>
  <c r="Q76" i="7"/>
  <c r="P76" i="7"/>
  <c r="Q75" i="7"/>
  <c r="P75" i="7"/>
  <c r="Q73" i="7"/>
  <c r="P73" i="7"/>
  <c r="Q72" i="7"/>
  <c r="P72" i="7"/>
  <c r="Q71" i="7"/>
  <c r="P71" i="7"/>
  <c r="Q70" i="7"/>
  <c r="P70" i="7"/>
  <c r="Q69" i="7"/>
  <c r="P69" i="7"/>
  <c r="Q68" i="7"/>
  <c r="P68" i="7"/>
  <c r="Q66" i="7"/>
  <c r="P66" i="7"/>
  <c r="Q65" i="7"/>
  <c r="P65" i="7"/>
  <c r="Q64" i="7"/>
  <c r="P64" i="7"/>
  <c r="Q63" i="7"/>
  <c r="P63" i="7"/>
  <c r="Q62" i="7"/>
  <c r="P62" i="7"/>
  <c r="Q61" i="7"/>
  <c r="P61" i="7"/>
  <c r="Q60" i="7"/>
  <c r="P60" i="7"/>
  <c r="Q59" i="7"/>
  <c r="P59" i="7"/>
  <c r="Q57" i="7"/>
  <c r="P57" i="7"/>
  <c r="Q56" i="7"/>
  <c r="P56" i="7"/>
  <c r="H53" i="7"/>
  <c r="Q52" i="7"/>
  <c r="P52" i="7"/>
  <c r="Q51" i="7"/>
  <c r="P51" i="7"/>
  <c r="Q50" i="7"/>
  <c r="P50" i="7"/>
  <c r="Q49" i="7"/>
  <c r="P49" i="7"/>
  <c r="L48" i="7"/>
  <c r="L98" i="7" s="1"/>
  <c r="K48" i="7"/>
  <c r="K98" i="7" s="1"/>
  <c r="J48" i="7"/>
  <c r="J98" i="7" s="1"/>
  <c r="I48" i="7"/>
  <c r="G48" i="7"/>
  <c r="G98" i="7" s="1"/>
  <c r="F48" i="7"/>
  <c r="F98" i="7" s="1"/>
  <c r="E48" i="7"/>
  <c r="P47" i="7"/>
  <c r="P46" i="7"/>
  <c r="N45" i="7"/>
  <c r="N97" i="7" s="1"/>
  <c r="K45" i="7"/>
  <c r="K97" i="7" s="1"/>
  <c r="J45" i="7"/>
  <c r="J97" i="7" s="1"/>
  <c r="I45" i="7"/>
  <c r="I97" i="7" s="1"/>
  <c r="F45" i="7"/>
  <c r="F97" i="7" s="1"/>
  <c r="E45" i="7"/>
  <c r="E97" i="7" s="1"/>
  <c r="H44" i="7"/>
  <c r="H43" i="7"/>
  <c r="H42" i="7"/>
  <c r="H41" i="7"/>
  <c r="M40" i="7"/>
  <c r="H40" i="7"/>
  <c r="L39" i="7"/>
  <c r="D123" i="20" s="1"/>
  <c r="K39" i="7"/>
  <c r="K96" i="7" s="1"/>
  <c r="J39" i="7"/>
  <c r="I39" i="7"/>
  <c r="G39" i="7"/>
  <c r="F39" i="7"/>
  <c r="F96" i="7" s="1"/>
  <c r="E39" i="7"/>
  <c r="E96" i="7" s="1"/>
  <c r="H37" i="7"/>
  <c r="H36" i="7"/>
  <c r="M35" i="7"/>
  <c r="H35" i="7"/>
  <c r="K34" i="7"/>
  <c r="K90" i="7" s="1"/>
  <c r="J34" i="7"/>
  <c r="J90" i="7" s="1"/>
  <c r="I34" i="7"/>
  <c r="I90" i="7" s="1"/>
  <c r="F34" i="7"/>
  <c r="F90" i="7" s="1"/>
  <c r="E34" i="7"/>
  <c r="P32" i="7"/>
  <c r="N31" i="7"/>
  <c r="N95" i="7" s="1"/>
  <c r="L31" i="7"/>
  <c r="L95" i="7" s="1"/>
  <c r="K31" i="7"/>
  <c r="K95" i="7" s="1"/>
  <c r="J31" i="7"/>
  <c r="J95" i="7" s="1"/>
  <c r="I31" i="7"/>
  <c r="I95" i="7" s="1"/>
  <c r="G31" i="7"/>
  <c r="G95" i="7" s="1"/>
  <c r="F31" i="7"/>
  <c r="F95" i="7" s="1"/>
  <c r="E31" i="7"/>
  <c r="P30" i="7"/>
  <c r="H29" i="7"/>
  <c r="K28" i="7"/>
  <c r="K94" i="7" s="1"/>
  <c r="J28" i="7"/>
  <c r="J94" i="7" s="1"/>
  <c r="I28" i="7"/>
  <c r="I94" i="7" s="1"/>
  <c r="F28" i="7"/>
  <c r="F94" i="7" s="1"/>
  <c r="E28" i="7"/>
  <c r="E94" i="7" s="1"/>
  <c r="H27" i="7"/>
  <c r="N27" i="7" s="1"/>
  <c r="H26" i="7"/>
  <c r="K25" i="7"/>
  <c r="K93" i="7" s="1"/>
  <c r="J25" i="7"/>
  <c r="J93" i="7" s="1"/>
  <c r="I25" i="7"/>
  <c r="I93" i="7" s="1"/>
  <c r="F25" i="7"/>
  <c r="E25" i="7"/>
  <c r="E93" i="7" s="1"/>
  <c r="H23" i="7"/>
  <c r="H22" i="7"/>
  <c r="N22" i="7" s="1"/>
  <c r="H21" i="7"/>
  <c r="L20" i="7"/>
  <c r="D86" i="20" s="1" a="1"/>
  <c r="D86" i="20" s="1"/>
  <c r="K20" i="7"/>
  <c r="K88" i="7" s="1"/>
  <c r="J20" i="7"/>
  <c r="J88" i="7" s="1"/>
  <c r="I20" i="7"/>
  <c r="I88" i="7" s="1"/>
  <c r="G20" i="7"/>
  <c r="C86" i="20" s="1" a="1"/>
  <c r="C86" i="20" s="1"/>
  <c r="F20" i="7"/>
  <c r="F88" i="7" s="1"/>
  <c r="E20" i="7"/>
  <c r="E88" i="7" s="1"/>
  <c r="H19" i="7"/>
  <c r="H18" i="7"/>
  <c r="N18" i="7" s="1"/>
  <c r="H17" i="7"/>
  <c r="L16" i="7"/>
  <c r="L109" i="14" s="1"/>
  <c r="K16" i="7"/>
  <c r="K109" i="14" s="1"/>
  <c r="J16" i="7"/>
  <c r="J109" i="14" s="1"/>
  <c r="I16" i="7"/>
  <c r="I109" i="14" s="1"/>
  <c r="G16" i="7"/>
  <c r="G109" i="14" s="1"/>
  <c r="F16" i="7"/>
  <c r="F109" i="14" s="1"/>
  <c r="E16" i="7"/>
  <c r="E109" i="14" s="1"/>
  <c r="H15" i="7"/>
  <c r="H14" i="7"/>
  <c r="P13" i="7"/>
  <c r="K11" i="7"/>
  <c r="K92" i="7" s="1"/>
  <c r="J11" i="7"/>
  <c r="J92" i="7" s="1"/>
  <c r="I11" i="7"/>
  <c r="I92" i="7" s="1"/>
  <c r="F11" i="7"/>
  <c r="F92" i="7" s="1"/>
  <c r="E11" i="7"/>
  <c r="H10" i="7"/>
  <c r="I3" i="7"/>
  <c r="F2" i="7"/>
  <c r="N1" i="7"/>
  <c r="G1" i="7"/>
  <c r="B1" i="7"/>
  <c r="L163" i="6"/>
  <c r="G163" i="6"/>
  <c r="L161" i="6"/>
  <c r="G161" i="6"/>
  <c r="L160" i="6"/>
  <c r="G160" i="6"/>
  <c r="L159" i="6"/>
  <c r="G159" i="6"/>
  <c r="L158" i="6"/>
  <c r="G158" i="6"/>
  <c r="L155" i="6" a="1"/>
  <c r="L155" i="6" s="1"/>
  <c r="G155" i="6" a="1"/>
  <c r="G155" i="6" s="1"/>
  <c r="G154" i="6" a="1"/>
  <c r="G154" i="6" s="1"/>
  <c r="L153" i="6" a="1"/>
  <c r="L153" i="6" s="1"/>
  <c r="G153" i="6" a="1"/>
  <c r="G153" i="6" s="1"/>
  <c r="L152" i="6" a="1"/>
  <c r="L152" i="6" s="1"/>
  <c r="G152" i="6" a="1"/>
  <c r="G152" i="6" s="1"/>
  <c r="L151" i="6" a="1"/>
  <c r="L151" i="6" s="1"/>
  <c r="G151" i="6" a="1"/>
  <c r="G151" i="6" s="1"/>
  <c r="L150" i="6" a="1"/>
  <c r="L150" i="6" s="1"/>
  <c r="G150" i="6" a="1"/>
  <c r="G150" i="6" s="1"/>
  <c r="L149" i="6" a="1"/>
  <c r="L149" i="6" s="1"/>
  <c r="G149" i="6" a="1"/>
  <c r="G149" i="6" s="1"/>
  <c r="L140" i="6"/>
  <c r="K140" i="6"/>
  <c r="J140" i="6"/>
  <c r="I140" i="6"/>
  <c r="G140" i="6"/>
  <c r="F140" i="6"/>
  <c r="E140" i="6"/>
  <c r="L133" i="6"/>
  <c r="G133" i="6"/>
  <c r="L132" i="6"/>
  <c r="G132" i="6"/>
  <c r="L131" i="6"/>
  <c r="G131" i="6"/>
  <c r="L130" i="6"/>
  <c r="G130" i="6"/>
  <c r="L121" i="6"/>
  <c r="G121" i="6"/>
  <c r="Q114" i="6"/>
  <c r="P114" i="6"/>
  <c r="Q113" i="6"/>
  <c r="P113" i="6"/>
  <c r="Q112" i="6"/>
  <c r="P112" i="6"/>
  <c r="Q111" i="6"/>
  <c r="P111" i="6"/>
  <c r="Q110" i="6"/>
  <c r="P110" i="6"/>
  <c r="Q109" i="6"/>
  <c r="P109" i="6"/>
  <c r="Q107" i="6"/>
  <c r="P107" i="6"/>
  <c r="Q106" i="6"/>
  <c r="P106" i="6"/>
  <c r="Q105" i="6"/>
  <c r="P105" i="6"/>
  <c r="Q104" i="6"/>
  <c r="P104" i="6"/>
  <c r="Q103" i="6"/>
  <c r="P103" i="6"/>
  <c r="Q102" i="6"/>
  <c r="P102" i="6"/>
  <c r="Q100" i="6"/>
  <c r="P100" i="6"/>
  <c r="Q99" i="6"/>
  <c r="P99" i="6"/>
  <c r="Q98" i="6"/>
  <c r="P98" i="6"/>
  <c r="Q97" i="6"/>
  <c r="P97" i="6"/>
  <c r="Q96" i="6"/>
  <c r="P96" i="6"/>
  <c r="Q95" i="6"/>
  <c r="P95" i="6"/>
  <c r="Q93" i="6"/>
  <c r="P93" i="6"/>
  <c r="Q92" i="6"/>
  <c r="P92" i="6"/>
  <c r="H89" i="6"/>
  <c r="Q88" i="6"/>
  <c r="P88" i="6"/>
  <c r="Q87" i="6"/>
  <c r="P87" i="6"/>
  <c r="Q86" i="6"/>
  <c r="P86" i="6"/>
  <c r="H85" i="6"/>
  <c r="L84" i="6"/>
  <c r="L138" i="6" s="1"/>
  <c r="K84" i="6"/>
  <c r="K138" i="6" s="1"/>
  <c r="J84" i="6"/>
  <c r="J138" i="6" s="1"/>
  <c r="I84" i="6"/>
  <c r="I138" i="6" s="1"/>
  <c r="G84" i="6"/>
  <c r="G138" i="6" s="1"/>
  <c r="F84" i="6"/>
  <c r="F138" i="6" s="1"/>
  <c r="E84" i="6"/>
  <c r="E138" i="6" s="1"/>
  <c r="H83" i="6"/>
  <c r="Q82" i="6"/>
  <c r="P82" i="6"/>
  <c r="Q81" i="6"/>
  <c r="P81" i="6"/>
  <c r="H80" i="6"/>
  <c r="L79" i="6"/>
  <c r="K79" i="6"/>
  <c r="K137" i="6" s="1"/>
  <c r="J79" i="6"/>
  <c r="J137" i="6" s="1"/>
  <c r="I79" i="6"/>
  <c r="I137" i="6" s="1"/>
  <c r="G79" i="6"/>
  <c r="F79" i="6"/>
  <c r="F137" i="6" s="1"/>
  <c r="E79" i="6"/>
  <c r="E137" i="6" s="1"/>
  <c r="H78" i="6"/>
  <c r="H77" i="6"/>
  <c r="H76" i="6"/>
  <c r="H75" i="6"/>
  <c r="H74" i="6"/>
  <c r="K73" i="6"/>
  <c r="K136" i="6" s="1"/>
  <c r="J73" i="6"/>
  <c r="J136" i="6" s="1"/>
  <c r="I73" i="6"/>
  <c r="I136" i="6" s="1"/>
  <c r="G73" i="6"/>
  <c r="F73" i="6"/>
  <c r="F136" i="6" s="1"/>
  <c r="E73" i="6"/>
  <c r="E136" i="6" s="1"/>
  <c r="H72" i="6"/>
  <c r="H71" i="6"/>
  <c r="H70" i="6"/>
  <c r="H69" i="6"/>
  <c r="H68" i="6"/>
  <c r="H67" i="6"/>
  <c r="H66" i="6"/>
  <c r="H65" i="6"/>
  <c r="L64" i="6"/>
  <c r="D122" i="20" s="1"/>
  <c r="K64" i="6"/>
  <c r="K139" i="6" s="1"/>
  <c r="J64" i="6"/>
  <c r="J63" i="6" s="1"/>
  <c r="J135" i="6" s="1"/>
  <c r="I64" i="6"/>
  <c r="I139" i="6" s="1"/>
  <c r="G64" i="6"/>
  <c r="F64" i="6"/>
  <c r="F139" i="6" s="1"/>
  <c r="E64" i="6"/>
  <c r="H61" i="6"/>
  <c r="H60" i="6"/>
  <c r="L134" i="6"/>
  <c r="K59" i="6"/>
  <c r="K134" i="6" s="1"/>
  <c r="J59" i="6"/>
  <c r="J134" i="6" s="1"/>
  <c r="I59" i="6"/>
  <c r="I134" i="6" s="1"/>
  <c r="G59" i="6"/>
  <c r="G52" i="6" s="1"/>
  <c r="F59" i="6"/>
  <c r="F134" i="6" s="1"/>
  <c r="E59" i="6"/>
  <c r="E134" i="6" s="1"/>
  <c r="H58" i="6"/>
  <c r="H57" i="6"/>
  <c r="K56" i="6"/>
  <c r="K133" i="6" s="1"/>
  <c r="J56" i="6"/>
  <c r="J133" i="6" s="1"/>
  <c r="I56" i="6"/>
  <c r="I133" i="6" s="1"/>
  <c r="F56" i="6"/>
  <c r="F133" i="6" s="1"/>
  <c r="E56" i="6"/>
  <c r="E133" i="6" s="1"/>
  <c r="H55" i="6"/>
  <c r="N55" i="6" s="1"/>
  <c r="H54" i="6"/>
  <c r="K53" i="6"/>
  <c r="K132" i="6" s="1"/>
  <c r="J53" i="6"/>
  <c r="I53" i="6"/>
  <c r="F53" i="6"/>
  <c r="F132" i="6" s="1"/>
  <c r="E53" i="6"/>
  <c r="E132" i="6" s="1"/>
  <c r="F52" i="6"/>
  <c r="F122" i="6" s="1"/>
  <c r="E52" i="6"/>
  <c r="E122" i="6" s="1"/>
  <c r="H51" i="6"/>
  <c r="H50" i="6"/>
  <c r="H49" i="6"/>
  <c r="K48" i="6"/>
  <c r="J48" i="6"/>
  <c r="J131" i="6" s="1"/>
  <c r="I48" i="6"/>
  <c r="I131" i="6" s="1"/>
  <c r="F48" i="6"/>
  <c r="F131" i="6" s="1"/>
  <c r="E48" i="6"/>
  <c r="E131" i="6" s="1"/>
  <c r="H47" i="6"/>
  <c r="H46" i="6"/>
  <c r="N46" i="6" s="1"/>
  <c r="H45" i="6"/>
  <c r="H44" i="6"/>
  <c r="N44" i="6" s="1"/>
  <c r="K43" i="6"/>
  <c r="K130" i="6" s="1"/>
  <c r="J43" i="6"/>
  <c r="J130" i="6" s="1"/>
  <c r="I43" i="6"/>
  <c r="I130" i="6" s="1"/>
  <c r="F43" i="6"/>
  <c r="F130" i="6" s="1"/>
  <c r="E43" i="6"/>
  <c r="E130" i="6" s="1"/>
  <c r="H41" i="6"/>
  <c r="N41" i="6" s="1"/>
  <c r="H40" i="6"/>
  <c r="H39" i="6"/>
  <c r="N39" i="6" s="1"/>
  <c r="H38" i="6"/>
  <c r="H37" i="6"/>
  <c r="N37" i="6" s="1"/>
  <c r="H36" i="6"/>
  <c r="H35" i="6"/>
  <c r="L34" i="6"/>
  <c r="L129" i="6" s="1"/>
  <c r="K34" i="6"/>
  <c r="K129" i="6" s="1"/>
  <c r="J34" i="6"/>
  <c r="J129" i="6" s="1"/>
  <c r="I34" i="6"/>
  <c r="I129" i="6" s="1"/>
  <c r="G34" i="6"/>
  <c r="G129" i="6" s="1"/>
  <c r="F34" i="6"/>
  <c r="F129" i="6" s="1"/>
  <c r="E34" i="6"/>
  <c r="E129" i="6" s="1"/>
  <c r="H33" i="6"/>
  <c r="H32" i="6"/>
  <c r="H31" i="6"/>
  <c r="L30" i="6"/>
  <c r="L21" i="6" s="1"/>
  <c r="K30" i="6"/>
  <c r="K21" i="6" s="1"/>
  <c r="J30" i="6"/>
  <c r="I30" i="6"/>
  <c r="I21" i="6" s="1"/>
  <c r="G21" i="6"/>
  <c r="F30" i="6"/>
  <c r="F21" i="6" s="1"/>
  <c r="E30" i="6"/>
  <c r="E128" i="6" s="1"/>
  <c r="H29" i="6"/>
  <c r="N29" i="6" s="1"/>
  <c r="P28" i="6"/>
  <c r="M27" i="6"/>
  <c r="Q27" i="6" s="1"/>
  <c r="M25" i="6"/>
  <c r="Q25" i="6" s="1"/>
  <c r="P24" i="6"/>
  <c r="N22" i="6"/>
  <c r="N127" i="6" s="1"/>
  <c r="L127" i="6"/>
  <c r="K127" i="6"/>
  <c r="J127" i="6"/>
  <c r="I127" i="6"/>
  <c r="G127" i="6"/>
  <c r="F127" i="6"/>
  <c r="E22" i="6"/>
  <c r="E127" i="6" s="1"/>
  <c r="H20" i="6"/>
  <c r="H19" i="6"/>
  <c r="H18" i="6"/>
  <c r="H17" i="6"/>
  <c r="H16" i="6"/>
  <c r="N16" i="6" s="1"/>
  <c r="L15" i="6"/>
  <c r="L125" i="6" s="1"/>
  <c r="K15" i="6"/>
  <c r="K125" i="6" s="1"/>
  <c r="J15" i="6"/>
  <c r="J125" i="6" s="1"/>
  <c r="I15" i="6"/>
  <c r="I125" i="6" s="1"/>
  <c r="G15" i="6"/>
  <c r="G125" i="6" s="1"/>
  <c r="F15" i="6"/>
  <c r="F125" i="6" s="1"/>
  <c r="E15" i="6"/>
  <c r="H14" i="6"/>
  <c r="H13" i="6"/>
  <c r="H12" i="6"/>
  <c r="N12" i="6" s="1"/>
  <c r="H11" i="6"/>
  <c r="L10" i="6"/>
  <c r="L124" i="6" s="1"/>
  <c r="K10" i="6"/>
  <c r="K124" i="6" s="1"/>
  <c r="J10" i="6"/>
  <c r="J124" i="6" s="1"/>
  <c r="I10" i="6"/>
  <c r="I124" i="6" s="1"/>
  <c r="G10" i="6"/>
  <c r="G124" i="6" s="1"/>
  <c r="F10" i="6"/>
  <c r="F124" i="6" s="1"/>
  <c r="E10" i="6"/>
  <c r="E124" i="6" s="1"/>
  <c r="I3" i="6"/>
  <c r="F2" i="6"/>
  <c r="N1" i="6"/>
  <c r="G1" i="6"/>
  <c r="B1" i="6"/>
  <c r="M22" i="5"/>
  <c r="K22" i="5"/>
  <c r="K40" i="5" s="1"/>
  <c r="I22" i="5"/>
  <c r="I40" i="5" s="1"/>
  <c r="D22" i="5"/>
  <c r="D40" i="5" s="1"/>
  <c r="M21" i="5"/>
  <c r="L21" i="5"/>
  <c r="K21" i="5"/>
  <c r="J21" i="5"/>
  <c r="I21" i="5"/>
  <c r="H21" i="5"/>
  <c r="G21" i="5"/>
  <c r="F21" i="5"/>
  <c r="E21" i="5"/>
  <c r="D21" i="5"/>
  <c r="M20" i="5"/>
  <c r="L20" i="5"/>
  <c r="K20" i="5"/>
  <c r="J20" i="5"/>
  <c r="I20" i="5"/>
  <c r="H20" i="5"/>
  <c r="G20" i="5"/>
  <c r="F20" i="5"/>
  <c r="E20" i="5"/>
  <c r="D20" i="5"/>
  <c r="M19" i="5"/>
  <c r="M37" i="5" s="1"/>
  <c r="L19" i="5"/>
  <c r="K19" i="5"/>
  <c r="K43" i="5" s="1"/>
  <c r="J19" i="5"/>
  <c r="J43" i="5" s="1"/>
  <c r="I19" i="5"/>
  <c r="I43" i="5" s="1"/>
  <c r="H19" i="5"/>
  <c r="H43" i="5" s="1"/>
  <c r="G19" i="5"/>
  <c r="G43" i="5" s="1"/>
  <c r="F19" i="5"/>
  <c r="E19" i="5"/>
  <c r="E37" i="5" s="1"/>
  <c r="D19" i="5"/>
  <c r="D43" i="5" s="1"/>
  <c r="M18" i="5"/>
  <c r="L18" i="5"/>
  <c r="K18" i="5"/>
  <c r="J18" i="5"/>
  <c r="I18" i="5"/>
  <c r="H18" i="5"/>
  <c r="G18" i="5"/>
  <c r="F18" i="5"/>
  <c r="E18" i="5"/>
  <c r="D18" i="5"/>
  <c r="M17" i="5"/>
  <c r="L17" i="5"/>
  <c r="K17" i="5"/>
  <c r="J17" i="5"/>
  <c r="I17" i="5"/>
  <c r="H17" i="5"/>
  <c r="G17" i="5"/>
  <c r="F17" i="5"/>
  <c r="E17" i="5"/>
  <c r="D17" i="5"/>
  <c r="M16" i="5"/>
  <c r="M42" i="5" s="1"/>
  <c r="L16" i="5"/>
  <c r="L42" i="5" s="1"/>
  <c r="K16" i="5"/>
  <c r="K42" i="5" s="1"/>
  <c r="J16" i="5"/>
  <c r="J42" i="5" s="1"/>
  <c r="I16" i="5"/>
  <c r="H16" i="5"/>
  <c r="G16" i="5"/>
  <c r="G36" i="5" s="1"/>
  <c r="F16" i="5"/>
  <c r="E16" i="5"/>
  <c r="E42" i="5" s="1"/>
  <c r="D16" i="5"/>
  <c r="D42" i="5" s="1"/>
  <c r="M15" i="5"/>
  <c r="L15" i="5"/>
  <c r="K15" i="5"/>
  <c r="J15" i="5"/>
  <c r="I15" i="5"/>
  <c r="H15" i="5"/>
  <c r="G15" i="5"/>
  <c r="F15" i="5"/>
  <c r="E15" i="5"/>
  <c r="D15" i="5"/>
  <c r="M14" i="5"/>
  <c r="L14" i="5"/>
  <c r="K14" i="5"/>
  <c r="J14" i="5"/>
  <c r="I14" i="5"/>
  <c r="H14" i="5"/>
  <c r="G14" i="5"/>
  <c r="F14" i="5"/>
  <c r="E14" i="5"/>
  <c r="D14" i="5"/>
  <c r="M13" i="5"/>
  <c r="M41" i="5" s="1"/>
  <c r="L13" i="5"/>
  <c r="L41" i="5" s="1"/>
  <c r="K13" i="5"/>
  <c r="J13" i="5"/>
  <c r="I13" i="5"/>
  <c r="I35" i="5" s="1"/>
  <c r="H13" i="5"/>
  <c r="H41" i="5" s="1"/>
  <c r="G13" i="5"/>
  <c r="G41" i="5" s="1"/>
  <c r="F13" i="5"/>
  <c r="F41" i="5" s="1"/>
  <c r="E13" i="5"/>
  <c r="E41" i="5" s="1"/>
  <c r="D13" i="5"/>
  <c r="M7" i="5"/>
  <c r="L7" i="5"/>
  <c r="K7" i="5"/>
  <c r="J7" i="5"/>
  <c r="I7" i="5"/>
  <c r="H7" i="5"/>
  <c r="G7" i="5"/>
  <c r="F7" i="5"/>
  <c r="E7" i="5"/>
  <c r="D7" i="5"/>
  <c r="H3" i="5"/>
  <c r="E2" i="5"/>
  <c r="M1" i="5"/>
  <c r="F1" i="5"/>
  <c r="A1" i="5"/>
  <c r="M60" i="4"/>
  <c r="L60" i="4"/>
  <c r="K60" i="4"/>
  <c r="J60" i="4"/>
  <c r="I60" i="4"/>
  <c r="H60" i="4"/>
  <c r="G60" i="4"/>
  <c r="F60" i="4"/>
  <c r="E60" i="4"/>
  <c r="D60" i="4"/>
  <c r="M36" i="4"/>
  <c r="M61" i="4" s="1"/>
  <c r="L36" i="4"/>
  <c r="L61" i="4" s="1"/>
  <c r="K36" i="4"/>
  <c r="J36" i="4"/>
  <c r="J61" i="4" s="1"/>
  <c r="I36" i="4"/>
  <c r="I61" i="4" s="1"/>
  <c r="H36" i="4"/>
  <c r="H61" i="4" s="1"/>
  <c r="G36" i="4"/>
  <c r="G61" i="4" s="1"/>
  <c r="F36" i="4"/>
  <c r="E36" i="4"/>
  <c r="E61" i="4" s="1"/>
  <c r="D36" i="4"/>
  <c r="D61" i="4" s="1"/>
  <c r="P35" i="4"/>
  <c r="O35" i="4"/>
  <c r="M33" i="4"/>
  <c r="L33" i="4"/>
  <c r="K33" i="4"/>
  <c r="J33" i="4"/>
  <c r="I33" i="4"/>
  <c r="H33" i="4"/>
  <c r="G33" i="4"/>
  <c r="F33" i="4"/>
  <c r="E33" i="4"/>
  <c r="D33" i="4"/>
  <c r="M29" i="4"/>
  <c r="M57" i="4" s="1"/>
  <c r="L29" i="4"/>
  <c r="L57" i="4" s="1"/>
  <c r="K29" i="4"/>
  <c r="K57" i="4" s="1"/>
  <c r="J29" i="4"/>
  <c r="J57" i="4" s="1"/>
  <c r="I29" i="4"/>
  <c r="I57" i="4" s="1"/>
  <c r="H29" i="4"/>
  <c r="H57" i="4" s="1"/>
  <c r="G29" i="4"/>
  <c r="G57" i="4" s="1"/>
  <c r="F29" i="4"/>
  <c r="F57" i="4" s="1"/>
  <c r="E29" i="4"/>
  <c r="E57" i="4" s="1"/>
  <c r="D29" i="4"/>
  <c r="D57" i="4" s="1"/>
  <c r="F23" i="4"/>
  <c r="M22" i="4"/>
  <c r="M55" i="4" s="1"/>
  <c r="L22" i="4"/>
  <c r="L55" i="4" s="1"/>
  <c r="K22" i="4"/>
  <c r="K55" i="4" s="1"/>
  <c r="J22" i="4"/>
  <c r="J55" i="4" s="1"/>
  <c r="I22" i="4"/>
  <c r="I55" i="4" s="1"/>
  <c r="H22" i="4"/>
  <c r="H55" i="4" s="1"/>
  <c r="G22" i="4"/>
  <c r="G55" i="4" s="1"/>
  <c r="F22" i="4"/>
  <c r="F55" i="4" s="1"/>
  <c r="E22" i="4"/>
  <c r="E55" i="4" s="1"/>
  <c r="D22" i="4"/>
  <c r="D55" i="4" s="1"/>
  <c r="K21" i="4"/>
  <c r="K49" i="4" s="1"/>
  <c r="M20" i="4"/>
  <c r="L20" i="4"/>
  <c r="K20" i="4"/>
  <c r="J20" i="4"/>
  <c r="I20" i="4"/>
  <c r="H20" i="4"/>
  <c r="G20" i="4"/>
  <c r="F20" i="4"/>
  <c r="E20" i="4"/>
  <c r="D20" i="4"/>
  <c r="M16" i="4"/>
  <c r="M54" i="4" s="1"/>
  <c r="L16" i="4"/>
  <c r="L54" i="4" s="1"/>
  <c r="K16" i="4"/>
  <c r="K54" i="4" s="1"/>
  <c r="J16" i="4"/>
  <c r="J54" i="4" s="1"/>
  <c r="I16" i="4"/>
  <c r="I54" i="4" s="1"/>
  <c r="H16" i="4"/>
  <c r="H54" i="4" s="1"/>
  <c r="G16" i="4"/>
  <c r="G54" i="4" s="1"/>
  <c r="F16" i="4"/>
  <c r="F54" i="4" s="1"/>
  <c r="E16" i="4"/>
  <c r="E54" i="4" s="1"/>
  <c r="D16" i="4"/>
  <c r="D54" i="4" s="1"/>
  <c r="M14" i="4"/>
  <c r="M27" i="4" s="1"/>
  <c r="L14" i="4"/>
  <c r="K14" i="4"/>
  <c r="K27" i="4" s="1"/>
  <c r="J14" i="4"/>
  <c r="I14" i="4"/>
  <c r="I27" i="4" s="1"/>
  <c r="H14" i="4"/>
  <c r="G14" i="4"/>
  <c r="G27" i="4" s="1"/>
  <c r="F14" i="4"/>
  <c r="E14" i="4"/>
  <c r="E27" i="4" s="1"/>
  <c r="D14" i="4"/>
  <c r="K11" i="4"/>
  <c r="K50" i="4" s="1"/>
  <c r="F11" i="4"/>
  <c r="F50" i="4" s="1"/>
  <c r="M10" i="4"/>
  <c r="M53" i="4" s="1"/>
  <c r="L10" i="4"/>
  <c r="K10" i="4"/>
  <c r="K53" i="4" s="1"/>
  <c r="J10" i="4"/>
  <c r="J53" i="4" s="1"/>
  <c r="I10" i="4"/>
  <c r="I53" i="4" s="1"/>
  <c r="H10" i="4"/>
  <c r="H53" i="4" s="1"/>
  <c r="G10" i="4"/>
  <c r="G53" i="4" s="1"/>
  <c r="F10" i="4"/>
  <c r="F53" i="4" s="1"/>
  <c r="E10" i="4"/>
  <c r="E53" i="4" s="1"/>
  <c r="D10" i="4"/>
  <c r="K9" i="4"/>
  <c r="K47" i="4" s="1"/>
  <c r="F9" i="4"/>
  <c r="F47" i="4" s="1"/>
  <c r="M8" i="4"/>
  <c r="L8" i="4"/>
  <c r="K8" i="4"/>
  <c r="K12" i="4" s="1"/>
  <c r="J8" i="4"/>
  <c r="I8" i="4"/>
  <c r="H8" i="4"/>
  <c r="G8" i="4"/>
  <c r="F8" i="4"/>
  <c r="E8" i="4"/>
  <c r="D8" i="4"/>
  <c r="H3" i="4"/>
  <c r="E2" i="4"/>
  <c r="M1" i="4"/>
  <c r="F1" i="4"/>
  <c r="A1" i="4"/>
  <c r="L98" i="3"/>
  <c r="G98" i="3"/>
  <c r="L97" i="3"/>
  <c r="G97" i="3"/>
  <c r="L96" i="3"/>
  <c r="G96" i="3"/>
  <c r="L95" i="3"/>
  <c r="G95" i="3"/>
  <c r="L94" i="3"/>
  <c r="G94" i="3"/>
  <c r="L92" i="3"/>
  <c r="G92" i="3"/>
  <c r="L91" i="3"/>
  <c r="G91" i="3"/>
  <c r="L90" i="3"/>
  <c r="G90" i="3"/>
  <c r="L89" i="3"/>
  <c r="G89" i="3"/>
  <c r="N86" i="3"/>
  <c r="M86" i="3"/>
  <c r="L86" i="3"/>
  <c r="K86" i="3"/>
  <c r="J86" i="3"/>
  <c r="I86" i="3"/>
  <c r="H86" i="3"/>
  <c r="G86" i="3"/>
  <c r="F86" i="3"/>
  <c r="E86" i="3"/>
  <c r="L85" i="3"/>
  <c r="J85" i="3"/>
  <c r="G85" i="3"/>
  <c r="F85" i="3"/>
  <c r="L83" i="3"/>
  <c r="L82" i="3"/>
  <c r="K82" i="3"/>
  <c r="J82" i="3"/>
  <c r="I82" i="3"/>
  <c r="F82" i="3"/>
  <c r="E82" i="3"/>
  <c r="L81" i="3"/>
  <c r="G81" i="3"/>
  <c r="L78" i="3"/>
  <c r="G78" i="3"/>
  <c r="L77" i="3"/>
  <c r="K77" i="3"/>
  <c r="J77" i="3"/>
  <c r="I77" i="3"/>
  <c r="G77" i="3"/>
  <c r="F77" i="3"/>
  <c r="E77" i="3"/>
  <c r="L76" i="3"/>
  <c r="K76" i="3"/>
  <c r="J76" i="3"/>
  <c r="I76" i="3"/>
  <c r="G76" i="3"/>
  <c r="F76" i="3"/>
  <c r="E76" i="3"/>
  <c r="L75" i="3"/>
  <c r="K75" i="3"/>
  <c r="I75" i="3"/>
  <c r="G75" i="3"/>
  <c r="F75" i="3"/>
  <c r="L74" i="3"/>
  <c r="G74" i="3"/>
  <c r="L72" i="3"/>
  <c r="I72" i="3"/>
  <c r="G72" i="3"/>
  <c r="G70" i="3"/>
  <c r="E70" i="3"/>
  <c r="K69" i="3"/>
  <c r="I69" i="3"/>
  <c r="G69" i="3"/>
  <c r="L68" i="3"/>
  <c r="K68" i="3"/>
  <c r="J68" i="3"/>
  <c r="I68" i="3"/>
  <c r="G68" i="3"/>
  <c r="F68" i="3"/>
  <c r="E68" i="3"/>
  <c r="L67" i="3"/>
  <c r="G67" i="3"/>
  <c r="F64" i="3"/>
  <c r="L63" i="3"/>
  <c r="G63" i="3"/>
  <c r="N59" i="3"/>
  <c r="M59" i="3"/>
  <c r="L59" i="3"/>
  <c r="K59" i="3"/>
  <c r="J59" i="3"/>
  <c r="I59" i="3"/>
  <c r="H59" i="3"/>
  <c r="G59" i="3"/>
  <c r="F59" i="3"/>
  <c r="E59" i="3"/>
  <c r="N58" i="3"/>
  <c r="M58" i="3"/>
  <c r="L58" i="3"/>
  <c r="K58" i="3"/>
  <c r="J58" i="3"/>
  <c r="I58" i="3"/>
  <c r="H58" i="3"/>
  <c r="G58" i="3"/>
  <c r="F58" i="3"/>
  <c r="E58" i="3"/>
  <c r="N57" i="3"/>
  <c r="M57" i="3"/>
  <c r="L57" i="3"/>
  <c r="K57" i="3"/>
  <c r="J57" i="3"/>
  <c r="I57" i="3"/>
  <c r="H57" i="3"/>
  <c r="G57" i="3"/>
  <c r="F57" i="3"/>
  <c r="E57" i="3"/>
  <c r="N56" i="3"/>
  <c r="M56" i="3"/>
  <c r="L56" i="3"/>
  <c r="K56" i="3"/>
  <c r="J56" i="3"/>
  <c r="I56" i="3"/>
  <c r="H56" i="3"/>
  <c r="G56" i="3"/>
  <c r="F56" i="3"/>
  <c r="E56" i="3"/>
  <c r="N55" i="3"/>
  <c r="M55" i="3"/>
  <c r="L55" i="3"/>
  <c r="K55" i="3"/>
  <c r="J55" i="3"/>
  <c r="I55" i="3"/>
  <c r="H55" i="3"/>
  <c r="G55" i="3"/>
  <c r="F55" i="3"/>
  <c r="E55" i="3"/>
  <c r="N53" i="3"/>
  <c r="M53" i="3"/>
  <c r="L53" i="3"/>
  <c r="K53" i="3"/>
  <c r="J53" i="3"/>
  <c r="I53" i="3"/>
  <c r="H53" i="3"/>
  <c r="G53" i="3"/>
  <c r="F53" i="3"/>
  <c r="E53" i="3"/>
  <c r="N52" i="3"/>
  <c r="M52" i="3"/>
  <c r="L52" i="3"/>
  <c r="K52" i="3"/>
  <c r="J52" i="3"/>
  <c r="I52" i="3"/>
  <c r="H52" i="3"/>
  <c r="G52" i="3"/>
  <c r="F52" i="3"/>
  <c r="E52" i="3"/>
  <c r="N51" i="3"/>
  <c r="M51" i="3"/>
  <c r="L51" i="3"/>
  <c r="K51" i="3"/>
  <c r="J51" i="3"/>
  <c r="I51" i="3"/>
  <c r="H51" i="3"/>
  <c r="G51" i="3"/>
  <c r="F51" i="3"/>
  <c r="E51" i="3"/>
  <c r="N50" i="3"/>
  <c r="M50" i="3"/>
  <c r="L50" i="3"/>
  <c r="K50" i="3"/>
  <c r="J50" i="3"/>
  <c r="I50" i="3"/>
  <c r="H50" i="3"/>
  <c r="G50" i="3"/>
  <c r="F50" i="3"/>
  <c r="E50" i="3"/>
  <c r="N49" i="3"/>
  <c r="M49" i="3"/>
  <c r="L49" i="3"/>
  <c r="K49" i="3"/>
  <c r="J49" i="3"/>
  <c r="I49" i="3"/>
  <c r="H49" i="3"/>
  <c r="G49" i="3"/>
  <c r="F49" i="3"/>
  <c r="E49" i="3"/>
  <c r="N48" i="3"/>
  <c r="M48" i="3"/>
  <c r="L48" i="3"/>
  <c r="K48" i="3"/>
  <c r="J48" i="3"/>
  <c r="I48" i="3"/>
  <c r="H48" i="3"/>
  <c r="G48" i="3"/>
  <c r="F48" i="3"/>
  <c r="E48" i="3"/>
  <c r="N47" i="3"/>
  <c r="M47" i="3"/>
  <c r="L47" i="3"/>
  <c r="K47" i="3"/>
  <c r="J47" i="3"/>
  <c r="I47" i="3"/>
  <c r="H47" i="3"/>
  <c r="G47" i="3"/>
  <c r="F47" i="3"/>
  <c r="E47" i="3"/>
  <c r="Q43" i="3"/>
  <c r="P43" i="3"/>
  <c r="Q42" i="3"/>
  <c r="P42" i="3"/>
  <c r="Q40" i="3"/>
  <c r="P40" i="3"/>
  <c r="Q39" i="3"/>
  <c r="P39" i="3"/>
  <c r="Q38" i="3"/>
  <c r="P38" i="3"/>
  <c r="Q37" i="3"/>
  <c r="P37" i="3"/>
  <c r="Q36" i="3"/>
  <c r="P36" i="3"/>
  <c r="Q35" i="3"/>
  <c r="P35" i="3"/>
  <c r="Q34" i="3"/>
  <c r="P34" i="3"/>
  <c r="Q33" i="3"/>
  <c r="P33" i="3"/>
  <c r="Q32" i="3"/>
  <c r="P32" i="3"/>
  <c r="Q30" i="3"/>
  <c r="P30" i="3"/>
  <c r="Q29" i="3"/>
  <c r="P29" i="3"/>
  <c r="Q28" i="3"/>
  <c r="P28" i="3"/>
  <c r="Q27" i="3"/>
  <c r="P27" i="3"/>
  <c r="Q26" i="3"/>
  <c r="P26" i="3"/>
  <c r="Q25" i="3"/>
  <c r="P25" i="3"/>
  <c r="Q24" i="3"/>
  <c r="P24" i="3"/>
  <c r="Q22" i="3"/>
  <c r="P22" i="3"/>
  <c r="Q21" i="3"/>
  <c r="P21" i="3"/>
  <c r="Q20" i="3"/>
  <c r="P20" i="3"/>
  <c r="Q19" i="3"/>
  <c r="P19" i="3"/>
  <c r="Q18" i="3"/>
  <c r="P18" i="3"/>
  <c r="Q17" i="3"/>
  <c r="P17" i="3"/>
  <c r="Q16" i="3"/>
  <c r="P16" i="3"/>
  <c r="Q15" i="3"/>
  <c r="P15" i="3"/>
  <c r="Q14" i="3"/>
  <c r="P14" i="3"/>
  <c r="Q13" i="3"/>
  <c r="P13" i="3"/>
  <c r="Q12" i="3"/>
  <c r="P12" i="3"/>
  <c r="Q11" i="3"/>
  <c r="P11" i="3"/>
  <c r="Q10" i="3"/>
  <c r="P10" i="3"/>
  <c r="Q9" i="3"/>
  <c r="P9" i="3"/>
  <c r="I3" i="3"/>
  <c r="F2" i="3"/>
  <c r="N1" i="3"/>
  <c r="G1" i="3"/>
  <c r="B1" i="3"/>
  <c r="M45" i="2"/>
  <c r="L45" i="2"/>
  <c r="K45" i="2"/>
  <c r="J45" i="2"/>
  <c r="I45" i="2"/>
  <c r="H45" i="2"/>
  <c r="G45" i="2"/>
  <c r="F45" i="2"/>
  <c r="O45" i="2" s="1"/>
  <c r="E45" i="2"/>
  <c r="K43" i="2"/>
  <c r="F43" i="2"/>
  <c r="E43" i="2"/>
  <c r="K38" i="2"/>
  <c r="D66" i="20" s="1"/>
  <c r="I38" i="2"/>
  <c r="F38" i="2"/>
  <c r="C66" i="20" s="1"/>
  <c r="E38" i="2"/>
  <c r="D38" i="2"/>
  <c r="K35" i="2"/>
  <c r="D65" i="20" s="1"/>
  <c r="I35" i="2"/>
  <c r="H35" i="2"/>
  <c r="F35" i="2"/>
  <c r="C65" i="20" s="1"/>
  <c r="E34" i="2"/>
  <c r="K29" i="2"/>
  <c r="J29" i="2"/>
  <c r="H29" i="2"/>
  <c r="F29" i="2"/>
  <c r="K28" i="2"/>
  <c r="J28" i="2"/>
  <c r="I28" i="2"/>
  <c r="H28" i="2"/>
  <c r="F28" i="2"/>
  <c r="E28" i="2"/>
  <c r="D28" i="2"/>
  <c r="K27" i="2"/>
  <c r="J27" i="2"/>
  <c r="I27" i="2"/>
  <c r="H27" i="2"/>
  <c r="F27" i="2"/>
  <c r="E27" i="2"/>
  <c r="D27" i="2"/>
  <c r="K26" i="2"/>
  <c r="J26" i="2"/>
  <c r="H26" i="2"/>
  <c r="F26" i="2"/>
  <c r="K25" i="2"/>
  <c r="D9" i="20" s="1"/>
  <c r="F25" i="2"/>
  <c r="C9" i="20" s="1"/>
  <c r="K20" i="2"/>
  <c r="D64" i="20" s="1"/>
  <c r="J20" i="2"/>
  <c r="I20" i="2"/>
  <c r="H20" i="2"/>
  <c r="F20" i="2"/>
  <c r="C64" i="20" s="1"/>
  <c r="D20" i="2"/>
  <c r="J18" i="2"/>
  <c r="H18" i="2"/>
  <c r="F18" i="2"/>
  <c r="C63" i="20" s="1"/>
  <c r="E18" i="2"/>
  <c r="D18" i="2"/>
  <c r="J17" i="2"/>
  <c r="H17" i="2"/>
  <c r="F17" i="2"/>
  <c r="E17" i="2"/>
  <c r="K16" i="2"/>
  <c r="J16" i="2"/>
  <c r="I16" i="2"/>
  <c r="H16" i="2"/>
  <c r="F16" i="2"/>
  <c r="E16" i="2"/>
  <c r="D16" i="2"/>
  <c r="K15" i="2"/>
  <c r="J15" i="2"/>
  <c r="I15" i="2"/>
  <c r="H15" i="2"/>
  <c r="F15" i="2"/>
  <c r="E15" i="2"/>
  <c r="D15" i="2"/>
  <c r="K14" i="2"/>
  <c r="D62" i="20" s="1"/>
  <c r="F14" i="2"/>
  <c r="C62" i="20" s="1"/>
  <c r="K10" i="2"/>
  <c r="D61" i="20" s="1"/>
  <c r="F10" i="2"/>
  <c r="C61" i="20" s="1"/>
  <c r="H3" i="2"/>
  <c r="E2" i="2"/>
  <c r="M1" i="2"/>
  <c r="F1" i="2"/>
  <c r="A1" i="2"/>
  <c r="AD26" i="1"/>
  <c r="AD14" i="1"/>
  <c r="AD13" i="1"/>
  <c r="AD12" i="1"/>
  <c r="AD11" i="1"/>
  <c r="U10" i="1"/>
  <c r="M31" i="6" l="1"/>
  <c r="Q31" i="6" s="1"/>
  <c r="N31" i="6"/>
  <c r="M33" i="6"/>
  <c r="Q33" i="6" s="1"/>
  <c r="N33" i="6"/>
  <c r="P36" i="6"/>
  <c r="N36" i="6"/>
  <c r="M38" i="6"/>
  <c r="Q38" i="6" s="1"/>
  <c r="N38" i="6"/>
  <c r="M40" i="6"/>
  <c r="Q40" i="6" s="1"/>
  <c r="N40" i="6"/>
  <c r="M47" i="6"/>
  <c r="Q47" i="6" s="1"/>
  <c r="N47" i="6"/>
  <c r="P50" i="6"/>
  <c r="N50" i="6"/>
  <c r="M57" i="6"/>
  <c r="Q57" i="6" s="1"/>
  <c r="N57" i="6"/>
  <c r="M26" i="7"/>
  <c r="N26" i="7"/>
  <c r="N25" i="7" s="1"/>
  <c r="P53" i="7"/>
  <c r="N53" i="7"/>
  <c r="N48" i="7" s="1"/>
  <c r="P59" i="8"/>
  <c r="N59" i="8"/>
  <c r="P14" i="6"/>
  <c r="N14" i="6"/>
  <c r="P18" i="6"/>
  <c r="N18" i="6"/>
  <c r="P20" i="6"/>
  <c r="N20" i="6"/>
  <c r="P54" i="6"/>
  <c r="N54" i="6"/>
  <c r="N53" i="6" s="1"/>
  <c r="N132" i="6" s="1"/>
  <c r="E139" i="6"/>
  <c r="E63" i="6"/>
  <c r="E135" i="6" s="1"/>
  <c r="M68" i="6"/>
  <c r="Q68" i="6" s="1"/>
  <c r="N68" i="6"/>
  <c r="M70" i="6"/>
  <c r="Q70" i="6" s="1"/>
  <c r="N70" i="6"/>
  <c r="M72" i="6"/>
  <c r="Q72" i="6" s="1"/>
  <c r="N72" i="6"/>
  <c r="M83" i="6"/>
  <c r="Q83" i="6" s="1"/>
  <c r="N83" i="6"/>
  <c r="P89" i="6"/>
  <c r="N89" i="6"/>
  <c r="P10" i="7"/>
  <c r="N10" i="7"/>
  <c r="H89" i="8"/>
  <c r="N15" i="7"/>
  <c r="P17" i="7"/>
  <c r="N17" i="7"/>
  <c r="P29" i="7"/>
  <c r="N29" i="7"/>
  <c r="N28" i="7" s="1"/>
  <c r="N94" i="7" s="1"/>
  <c r="M37" i="7"/>
  <c r="Q37" i="7" s="1"/>
  <c r="N37" i="7"/>
  <c r="P42" i="7"/>
  <c r="N42" i="7"/>
  <c r="P44" i="7"/>
  <c r="N44" i="7"/>
  <c r="H48" i="7"/>
  <c r="H98" i="7" s="1"/>
  <c r="H76" i="3"/>
  <c r="N15" i="8"/>
  <c r="N50" i="8"/>
  <c r="M11" i="11"/>
  <c r="N11" i="11"/>
  <c r="M13" i="11"/>
  <c r="Q13" i="11" s="1"/>
  <c r="N13" i="11"/>
  <c r="M15" i="11"/>
  <c r="Q15" i="11" s="1"/>
  <c r="N15" i="11"/>
  <c r="P41" i="11"/>
  <c r="N41" i="11"/>
  <c r="P43" i="11"/>
  <c r="N43" i="11"/>
  <c r="P45" i="11"/>
  <c r="N45" i="11"/>
  <c r="P46" i="11"/>
  <c r="N46" i="11"/>
  <c r="N28" i="11" s="1"/>
  <c r="N133" i="11" s="1"/>
  <c r="P48" i="11"/>
  <c r="N48" i="11"/>
  <c r="P57" i="11"/>
  <c r="N57" i="11"/>
  <c r="P59" i="11"/>
  <c r="N59" i="11"/>
  <c r="M74" i="11"/>
  <c r="Q74" i="11" s="1"/>
  <c r="N74" i="11"/>
  <c r="M78" i="11"/>
  <c r="Q78" i="11" s="1"/>
  <c r="N78" i="11"/>
  <c r="P45" i="16"/>
  <c r="M11" i="6"/>
  <c r="Q11" i="6" s="1"/>
  <c r="N11" i="6"/>
  <c r="P13" i="6"/>
  <c r="N13" i="6"/>
  <c r="M19" i="6"/>
  <c r="Q19" i="6" s="1"/>
  <c r="N19" i="6"/>
  <c r="P32" i="6"/>
  <c r="N32" i="6"/>
  <c r="M35" i="6"/>
  <c r="Q35" i="6" s="1"/>
  <c r="N35" i="6"/>
  <c r="N34" i="6" s="1"/>
  <c r="N129" i="6" s="1"/>
  <c r="M49" i="6"/>
  <c r="Q49" i="6" s="1"/>
  <c r="N49" i="6"/>
  <c r="M51" i="6"/>
  <c r="Q51" i="6" s="1"/>
  <c r="N51" i="6"/>
  <c r="M58" i="6"/>
  <c r="Q58" i="6" s="1"/>
  <c r="N58" i="6"/>
  <c r="M65" i="6"/>
  <c r="N65" i="6"/>
  <c r="M67" i="6"/>
  <c r="N67" i="6"/>
  <c r="M69" i="6"/>
  <c r="Q69" i="6" s="1"/>
  <c r="N69" i="6"/>
  <c r="M71" i="6"/>
  <c r="Q71" i="6" s="1"/>
  <c r="N71" i="6"/>
  <c r="M78" i="6"/>
  <c r="Q78" i="6" s="1"/>
  <c r="N78" i="6"/>
  <c r="P85" i="6"/>
  <c r="N85" i="6"/>
  <c r="N84" i="6" s="1"/>
  <c r="N138" i="6" s="1"/>
  <c r="P21" i="7"/>
  <c r="N21" i="7"/>
  <c r="P23" i="7"/>
  <c r="N23" i="7"/>
  <c r="P35" i="7"/>
  <c r="N35" i="7"/>
  <c r="M36" i="7"/>
  <c r="Q36" i="7" s="1"/>
  <c r="N36" i="7"/>
  <c r="P40" i="7"/>
  <c r="N40" i="7"/>
  <c r="P41" i="7"/>
  <c r="N41" i="7"/>
  <c r="P43" i="7"/>
  <c r="N43" i="7"/>
  <c r="G28" i="2"/>
  <c r="N16" i="8"/>
  <c r="P41" i="8"/>
  <c r="N41" i="8"/>
  <c r="N23" i="8" s="1"/>
  <c r="N112" i="8" s="1"/>
  <c r="M57" i="8"/>
  <c r="Q57" i="8" s="1"/>
  <c r="N57" i="8"/>
  <c r="M73" i="8"/>
  <c r="Q73" i="8" s="1"/>
  <c r="N73" i="8"/>
  <c r="N71" i="8" s="1"/>
  <c r="P75" i="8"/>
  <c r="N75" i="8"/>
  <c r="M77" i="8"/>
  <c r="Q77" i="8" s="1"/>
  <c r="N77" i="8"/>
  <c r="P12" i="11"/>
  <c r="N12" i="11"/>
  <c r="M14" i="11"/>
  <c r="Q14" i="11" s="1"/>
  <c r="N14" i="11"/>
  <c r="M16" i="11"/>
  <c r="Q16" i="11" s="1"/>
  <c r="N16" i="11"/>
  <c r="P19" i="11"/>
  <c r="N19" i="11"/>
  <c r="N17" i="11" s="1"/>
  <c r="N127" i="11" s="1"/>
  <c r="P21" i="11"/>
  <c r="N21" i="11"/>
  <c r="N24" i="11"/>
  <c r="N129" i="11" s="1"/>
  <c r="P44" i="11"/>
  <c r="N44" i="11"/>
  <c r="M45" i="11"/>
  <c r="Q45" i="11" s="1"/>
  <c r="P47" i="11"/>
  <c r="N47" i="11"/>
  <c r="M56" i="11"/>
  <c r="Q56" i="11" s="1"/>
  <c r="N56" i="11"/>
  <c r="M60" i="11"/>
  <c r="Q60" i="11" s="1"/>
  <c r="N60" i="11"/>
  <c r="M73" i="11"/>
  <c r="Q73" i="11" s="1"/>
  <c r="N73" i="11"/>
  <c r="P75" i="11"/>
  <c r="N75" i="11"/>
  <c r="P77" i="11"/>
  <c r="N77" i="11"/>
  <c r="P79" i="11"/>
  <c r="N79" i="11"/>
  <c r="Q13" i="12"/>
  <c r="M32" i="12"/>
  <c r="Q32" i="12" s="1"/>
  <c r="P46" i="12"/>
  <c r="M49" i="12"/>
  <c r="Q49" i="12" s="1"/>
  <c r="P33" i="13"/>
  <c r="P46" i="13"/>
  <c r="F8" i="14"/>
  <c r="L8" i="14"/>
  <c r="P61" i="14"/>
  <c r="P67" i="14"/>
  <c r="M18" i="15"/>
  <c r="Q18" i="15" s="1"/>
  <c r="M21" i="16"/>
  <c r="Q21" i="16" s="1"/>
  <c r="M23" i="16"/>
  <c r="Q23" i="16" s="1"/>
  <c r="H58" i="16"/>
  <c r="P42" i="16"/>
  <c r="R28" i="18"/>
  <c r="V30" i="18"/>
  <c r="R32" i="18"/>
  <c r="V32" i="18"/>
  <c r="H35" i="18"/>
  <c r="R50" i="18"/>
  <c r="R81" i="18"/>
  <c r="X112" i="18"/>
  <c r="X116" i="18"/>
  <c r="X134" i="18"/>
  <c r="X147" i="18"/>
  <c r="X151" i="18"/>
  <c r="H53" i="17"/>
  <c r="F22" i="5"/>
  <c r="G8" i="11"/>
  <c r="F24" i="5" s="1"/>
  <c r="F44" i="5" s="1"/>
  <c r="H38" i="11"/>
  <c r="AD31" i="1"/>
  <c r="N30" i="8"/>
  <c r="N119" i="8" s="1"/>
  <c r="M43" i="8"/>
  <c r="Q43" i="8" s="1"/>
  <c r="N43" i="8"/>
  <c r="P45" i="8"/>
  <c r="N45" i="8"/>
  <c r="M47" i="8"/>
  <c r="Q47" i="8" s="1"/>
  <c r="N47" i="8"/>
  <c r="H26" i="8"/>
  <c r="H115" i="8" s="1"/>
  <c r="N35" i="8"/>
  <c r="N26" i="8" s="1"/>
  <c r="N115" i="8" s="1"/>
  <c r="M21" i="8"/>
  <c r="Q21" i="8" s="1"/>
  <c r="N21" i="8"/>
  <c r="P18" i="8"/>
  <c r="N18" i="8"/>
  <c r="M20" i="8"/>
  <c r="Q20" i="8" s="1"/>
  <c r="N20" i="8"/>
  <c r="M12" i="8"/>
  <c r="Q12" i="8" s="1"/>
  <c r="N12" i="8"/>
  <c r="P14" i="8"/>
  <c r="N14" i="8"/>
  <c r="E95" i="7"/>
  <c r="H31" i="7"/>
  <c r="P19" i="7"/>
  <c r="N19" i="7"/>
  <c r="N16" i="7" s="1"/>
  <c r="N109" i="14" s="1"/>
  <c r="D17" i="2"/>
  <c r="E69" i="3"/>
  <c r="P14" i="7"/>
  <c r="N14" i="7"/>
  <c r="M75" i="6"/>
  <c r="Q75" i="6" s="1"/>
  <c r="N75" i="6"/>
  <c r="M77" i="6"/>
  <c r="Q77" i="6" s="1"/>
  <c r="N77" i="6"/>
  <c r="M60" i="6"/>
  <c r="Q60" i="6" s="1"/>
  <c r="N60" i="6"/>
  <c r="M61" i="6"/>
  <c r="M146" i="6" s="1"/>
  <c r="N61" i="6"/>
  <c r="N59" i="6" s="1"/>
  <c r="N134" i="6" s="1"/>
  <c r="M80" i="6"/>
  <c r="Q80" i="6" s="1"/>
  <c r="N80" i="6"/>
  <c r="M76" i="6"/>
  <c r="Q76" i="6" s="1"/>
  <c r="N76" i="6"/>
  <c r="M74" i="6"/>
  <c r="Q74" i="6" s="1"/>
  <c r="N74" i="6"/>
  <c r="N73" i="6" s="1"/>
  <c r="N136" i="6" s="1"/>
  <c r="M66" i="6"/>
  <c r="Q66" i="6" s="1"/>
  <c r="N66" i="6"/>
  <c r="N64" i="6" s="1"/>
  <c r="P45" i="6"/>
  <c r="N45" i="6"/>
  <c r="N43" i="6" s="1"/>
  <c r="M17" i="6"/>
  <c r="Q17" i="6" s="1"/>
  <c r="N17" i="6"/>
  <c r="N15" i="6" s="1"/>
  <c r="N125" i="6" s="1"/>
  <c r="L22" i="5"/>
  <c r="L40" i="5" s="1"/>
  <c r="H22" i="5"/>
  <c r="H40" i="5" s="1"/>
  <c r="G37" i="5"/>
  <c r="G22" i="5"/>
  <c r="G32" i="5" s="1"/>
  <c r="G35" i="5"/>
  <c r="AD38" i="1"/>
  <c r="E22" i="5"/>
  <c r="E32" i="5" s="1"/>
  <c r="O15" i="5"/>
  <c r="M17" i="2"/>
  <c r="N69" i="3"/>
  <c r="K36" i="2"/>
  <c r="K33" i="2"/>
  <c r="L80" i="3"/>
  <c r="K15" i="4"/>
  <c r="D70" i="20" s="1"/>
  <c r="F36" i="2"/>
  <c r="F34" i="4"/>
  <c r="F59" i="4" s="1"/>
  <c r="G83" i="3"/>
  <c r="F33" i="2"/>
  <c r="G80" i="3"/>
  <c r="F48" i="4"/>
  <c r="J38" i="2"/>
  <c r="K85" i="3"/>
  <c r="E35" i="2"/>
  <c r="M75" i="8"/>
  <c r="Q75" i="8" s="1"/>
  <c r="G16" i="2"/>
  <c r="M67" i="11"/>
  <c r="M54" i="11" s="1"/>
  <c r="G146" i="11"/>
  <c r="M29" i="6"/>
  <c r="Q29" i="6" s="1"/>
  <c r="E64" i="3"/>
  <c r="J128" i="6"/>
  <c r="J21" i="6"/>
  <c r="J9" i="6" s="1"/>
  <c r="K17" i="4"/>
  <c r="D13" i="20" s="1"/>
  <c r="H68" i="11"/>
  <c r="H35" i="11"/>
  <c r="H39" i="11"/>
  <c r="M77" i="11"/>
  <c r="Q77" i="11" s="1"/>
  <c r="M43" i="11"/>
  <c r="Q43" i="11" s="1"/>
  <c r="P13" i="11"/>
  <c r="P15" i="11"/>
  <c r="P11" i="11"/>
  <c r="H37" i="5"/>
  <c r="P18" i="5"/>
  <c r="O21" i="5"/>
  <c r="AD30" i="1"/>
  <c r="I18" i="2"/>
  <c r="I17" i="2"/>
  <c r="I98" i="7"/>
  <c r="M48" i="7"/>
  <c r="O17" i="5"/>
  <c r="E75" i="3"/>
  <c r="E24" i="7"/>
  <c r="K72" i="3"/>
  <c r="J70" i="3"/>
  <c r="I43" i="2"/>
  <c r="J81" i="3"/>
  <c r="J43" i="2"/>
  <c r="K81" i="3"/>
  <c r="K78" i="3"/>
  <c r="I81" i="3"/>
  <c r="H43" i="2"/>
  <c r="G27" i="2"/>
  <c r="E85" i="3"/>
  <c r="D43" i="2"/>
  <c r="E81" i="3"/>
  <c r="H71" i="8"/>
  <c r="G38" i="2" s="1"/>
  <c r="O38" i="2" s="1"/>
  <c r="K28" i="15"/>
  <c r="K55" i="15" s="1"/>
  <c r="K84" i="3"/>
  <c r="J37" i="2"/>
  <c r="I37" i="2"/>
  <c r="J84" i="3"/>
  <c r="D35" i="2"/>
  <c r="P21" i="8"/>
  <c r="D29" i="2"/>
  <c r="E78" i="3"/>
  <c r="E29" i="2"/>
  <c r="F78" i="3"/>
  <c r="H77" i="3"/>
  <c r="M16" i="8"/>
  <c r="P16" i="8"/>
  <c r="J9" i="8"/>
  <c r="J104" i="8" s="1"/>
  <c r="I26" i="2"/>
  <c r="J75" i="3"/>
  <c r="F9" i="8"/>
  <c r="F104" i="8" s="1"/>
  <c r="M14" i="8"/>
  <c r="Q14" i="8" s="1"/>
  <c r="E26" i="2"/>
  <c r="H68" i="3"/>
  <c r="G15" i="2"/>
  <c r="M89" i="6"/>
  <c r="Q89" i="6" s="1"/>
  <c r="O27" i="2"/>
  <c r="O20" i="4"/>
  <c r="I128" i="6"/>
  <c r="P12" i="7"/>
  <c r="H11" i="7"/>
  <c r="N11" i="7" s="1"/>
  <c r="N92" i="7" s="1"/>
  <c r="F93" i="7"/>
  <c r="F24" i="7"/>
  <c r="F38" i="7"/>
  <c r="F91" i="7" s="1"/>
  <c r="Q41" i="8"/>
  <c r="M23" i="8"/>
  <c r="Q23" i="8" s="1"/>
  <c r="I41" i="15"/>
  <c r="I56" i="15" s="1"/>
  <c r="I85" i="3"/>
  <c r="I28" i="15"/>
  <c r="I55" i="15" s="1"/>
  <c r="I131" i="8"/>
  <c r="P79" i="8"/>
  <c r="M79" i="8"/>
  <c r="Q79" i="8" s="1"/>
  <c r="D35" i="5"/>
  <c r="F36" i="5"/>
  <c r="L37" i="5"/>
  <c r="M16" i="6"/>
  <c r="Q16" i="6" s="1"/>
  <c r="P16" i="6"/>
  <c r="E90" i="7"/>
  <c r="E72" i="3"/>
  <c r="F24" i="4"/>
  <c r="F43" i="4" s="1"/>
  <c r="G16" i="22" s="1"/>
  <c r="M12" i="6"/>
  <c r="Q12" i="6" s="1"/>
  <c r="P12" i="6"/>
  <c r="M23" i="6"/>
  <c r="Q23" i="6" s="1"/>
  <c r="F128" i="6"/>
  <c r="K128" i="6"/>
  <c r="E92" i="7"/>
  <c r="E9" i="7"/>
  <c r="I111" i="8"/>
  <c r="I9" i="8"/>
  <c r="I136" i="8" s="1"/>
  <c r="O8" i="4"/>
  <c r="N14" i="22" s="1"/>
  <c r="D27" i="4"/>
  <c r="H27" i="4"/>
  <c r="L27" i="4"/>
  <c r="G128" i="6"/>
  <c r="L128" i="6"/>
  <c r="P67" i="6"/>
  <c r="P37" i="7"/>
  <c r="G38" i="7"/>
  <c r="N98" i="7"/>
  <c r="P12" i="8"/>
  <c r="J111" i="8"/>
  <c r="J78" i="3"/>
  <c r="G123" i="8"/>
  <c r="H64" i="8"/>
  <c r="N64" i="8" s="1"/>
  <c r="N51" i="8" s="1"/>
  <c r="N123" i="8" s="1"/>
  <c r="M38" i="11"/>
  <c r="Q38" i="11" s="1"/>
  <c r="M68" i="11"/>
  <c r="Q68" i="11" s="1"/>
  <c r="M60" i="12"/>
  <c r="Q60" i="12" s="1"/>
  <c r="M75" i="12"/>
  <c r="Q75" i="12" s="1"/>
  <c r="P78" i="12"/>
  <c r="P19" i="13"/>
  <c r="P26" i="13"/>
  <c r="P29" i="13"/>
  <c r="P35" i="13"/>
  <c r="P50" i="13"/>
  <c r="P63" i="13"/>
  <c r="M23" i="14"/>
  <c r="Q23" i="14" s="1"/>
  <c r="M19" i="16"/>
  <c r="Q19" i="16" s="1"/>
  <c r="M44" i="16"/>
  <c r="Q44" i="16" s="1"/>
  <c r="I96" i="8"/>
  <c r="L45" i="9"/>
  <c r="K19" i="21" s="1"/>
  <c r="H23" i="11"/>
  <c r="H128" i="11" s="1"/>
  <c r="M41" i="11"/>
  <c r="Q41" i="11" s="1"/>
  <c r="L8" i="11"/>
  <c r="K24" i="5" s="1"/>
  <c r="K44" i="5" s="1"/>
  <c r="P73" i="11"/>
  <c r="M75" i="11"/>
  <c r="Q75" i="11" s="1"/>
  <c r="E147" i="11"/>
  <c r="M20" i="12"/>
  <c r="Q20" i="12" s="1"/>
  <c r="P53" i="12"/>
  <c r="M67" i="12"/>
  <c r="Q67" i="12" s="1"/>
  <c r="M69" i="12"/>
  <c r="Q69" i="12" s="1"/>
  <c r="M71" i="12"/>
  <c r="Q71" i="12" s="1"/>
  <c r="M73" i="12"/>
  <c r="Q73" i="12" s="1"/>
  <c r="M81" i="12"/>
  <c r="Q81" i="12" s="1"/>
  <c r="M24" i="13"/>
  <c r="Q24" i="13" s="1"/>
  <c r="P32" i="13"/>
  <c r="M34" i="13"/>
  <c r="Q34" i="13" s="1"/>
  <c r="P38" i="13"/>
  <c r="P54" i="13"/>
  <c r="M66" i="13"/>
  <c r="Q66" i="13" s="1"/>
  <c r="M13" i="14"/>
  <c r="Q13" i="14" s="1"/>
  <c r="M17" i="14"/>
  <c r="D50" i="20" s="1"/>
  <c r="P37" i="14"/>
  <c r="P79" i="14"/>
  <c r="P81" i="14"/>
  <c r="P83" i="14"/>
  <c r="P85" i="14"/>
  <c r="M13" i="15"/>
  <c r="Q13" i="15" s="1"/>
  <c r="P21" i="15"/>
  <c r="M23" i="15"/>
  <c r="Q23" i="15" s="1"/>
  <c r="P25" i="15"/>
  <c r="P32" i="15"/>
  <c r="P37" i="15"/>
  <c r="M17" i="16"/>
  <c r="M43" i="16"/>
  <c r="Q43" i="16" s="1"/>
  <c r="L51" i="16"/>
  <c r="S27" i="18"/>
  <c r="S30" i="18"/>
  <c r="W30" i="18"/>
  <c r="X61" i="18"/>
  <c r="V67" i="18"/>
  <c r="X65" i="18"/>
  <c r="V79" i="18"/>
  <c r="H79" i="18"/>
  <c r="R83" i="18"/>
  <c r="T136" i="18"/>
  <c r="S153" i="18"/>
  <c r="J27" i="4"/>
  <c r="K34" i="4"/>
  <c r="K59" i="4" s="1"/>
  <c r="P20" i="8"/>
  <c r="M45" i="8"/>
  <c r="Q45" i="8" s="1"/>
  <c r="M59" i="8"/>
  <c r="Q59" i="8" s="1"/>
  <c r="H68" i="8"/>
  <c r="N68" i="8" s="1"/>
  <c r="N55" i="8" s="1"/>
  <c r="N127" i="8" s="1"/>
  <c r="L98" i="8"/>
  <c r="L140" i="8" s="1"/>
  <c r="P14" i="11"/>
  <c r="P16" i="11"/>
  <c r="I22" i="11"/>
  <c r="H17" i="4" s="1"/>
  <c r="H51" i="4" s="1"/>
  <c r="H40" i="11"/>
  <c r="H137" i="11" s="1"/>
  <c r="M47" i="11"/>
  <c r="Q47" i="11" s="1"/>
  <c r="H91" i="12"/>
  <c r="M24" i="12"/>
  <c r="Q24" i="12" s="1"/>
  <c r="P33" i="12"/>
  <c r="M41" i="12"/>
  <c r="Q41" i="12" s="1"/>
  <c r="P63" i="12"/>
  <c r="M79" i="12"/>
  <c r="Q79" i="12" s="1"/>
  <c r="H85" i="13"/>
  <c r="M30" i="13"/>
  <c r="Q30" i="13" s="1"/>
  <c r="M36" i="13"/>
  <c r="Q36" i="13" s="1"/>
  <c r="P42" i="13"/>
  <c r="P58" i="13"/>
  <c r="H97" i="13"/>
  <c r="P64" i="13"/>
  <c r="H55" i="14"/>
  <c r="H100" i="14" s="1"/>
  <c r="P73" i="14"/>
  <c r="P75" i="14"/>
  <c r="P77" i="14"/>
  <c r="M17" i="15"/>
  <c r="Q17" i="15" s="1"/>
  <c r="M25" i="16"/>
  <c r="Q25" i="16" s="1"/>
  <c r="X44" i="18"/>
  <c r="S79" i="18"/>
  <c r="W79" i="18"/>
  <c r="W84" i="18" s="1"/>
  <c r="W83" i="18"/>
  <c r="R101" i="18"/>
  <c r="P83" i="6"/>
  <c r="P26" i="6"/>
  <c r="M26" i="6"/>
  <c r="P77" i="6"/>
  <c r="P75" i="6"/>
  <c r="P74" i="6"/>
  <c r="P71" i="6"/>
  <c r="P69" i="6"/>
  <c r="H64" i="6"/>
  <c r="P64" i="6" s="1"/>
  <c r="F63" i="6"/>
  <c r="F62" i="6" s="1"/>
  <c r="P65" i="6"/>
  <c r="P61" i="6"/>
  <c r="P60" i="6"/>
  <c r="E11" i="2"/>
  <c r="P57" i="6"/>
  <c r="D11" i="2"/>
  <c r="P51" i="6"/>
  <c r="P47" i="6"/>
  <c r="J72" i="3"/>
  <c r="K18" i="2"/>
  <c r="D63" i="20" s="1"/>
  <c r="L70" i="3"/>
  <c r="K17" i="2"/>
  <c r="L69" i="3"/>
  <c r="I70" i="3"/>
  <c r="K70" i="3"/>
  <c r="J69" i="3"/>
  <c r="M43" i="7"/>
  <c r="Q43" i="7" s="1"/>
  <c r="H16" i="7"/>
  <c r="E21" i="2"/>
  <c r="H39" i="7"/>
  <c r="M44" i="7"/>
  <c r="Q44" i="7" s="1"/>
  <c r="E20" i="2"/>
  <c r="F72" i="3"/>
  <c r="H95" i="7"/>
  <c r="M30" i="7"/>
  <c r="Q30" i="7" s="1"/>
  <c r="H28" i="7"/>
  <c r="H94" i="7" s="1"/>
  <c r="H25" i="7"/>
  <c r="P26" i="7"/>
  <c r="F70" i="3"/>
  <c r="F69" i="3"/>
  <c r="M13" i="7"/>
  <c r="Q13" i="7" s="1"/>
  <c r="M15" i="7"/>
  <c r="P40" i="6"/>
  <c r="P38" i="6"/>
  <c r="M36" i="6"/>
  <c r="Q36" i="6" s="1"/>
  <c r="P33" i="6"/>
  <c r="P27" i="6"/>
  <c r="P25" i="6"/>
  <c r="E21" i="6"/>
  <c r="E126" i="6" s="1"/>
  <c r="L126" i="6"/>
  <c r="K126" i="6"/>
  <c r="P22" i="6"/>
  <c r="P23" i="6"/>
  <c r="M20" i="6"/>
  <c r="Q20" i="6" s="1"/>
  <c r="D37" i="2"/>
  <c r="E84" i="3"/>
  <c r="P8" i="4"/>
  <c r="O14" i="22" s="1"/>
  <c r="P20" i="4"/>
  <c r="P7" i="5"/>
  <c r="E35" i="5"/>
  <c r="M43" i="5"/>
  <c r="H9" i="7"/>
  <c r="M34" i="7"/>
  <c r="D90" i="19" s="1"/>
  <c r="H17" i="8"/>
  <c r="P17" i="8" s="1"/>
  <c r="H30" i="8"/>
  <c r="H119" i="8" s="1"/>
  <c r="M39" i="8"/>
  <c r="Q39" i="8" s="1"/>
  <c r="P64" i="8"/>
  <c r="H51" i="8"/>
  <c r="H123" i="8" s="1"/>
  <c r="I99" i="8"/>
  <c r="H34" i="4" s="1"/>
  <c r="H59" i="4" s="1"/>
  <c r="O15" i="2"/>
  <c r="P45" i="2"/>
  <c r="K24" i="4"/>
  <c r="K43" i="4" s="1"/>
  <c r="K16" i="22" s="1"/>
  <c r="O33" i="4"/>
  <c r="O7" i="5"/>
  <c r="J35" i="5"/>
  <c r="H36" i="5"/>
  <c r="F37" i="5"/>
  <c r="D32" i="5"/>
  <c r="H35" i="5"/>
  <c r="I37" i="5"/>
  <c r="D41" i="5"/>
  <c r="E43" i="5"/>
  <c r="P19" i="6"/>
  <c r="M28" i="6"/>
  <c r="Q28" i="6" s="1"/>
  <c r="P31" i="6"/>
  <c r="E42" i="6"/>
  <c r="P49" i="6"/>
  <c r="K52" i="6"/>
  <c r="H56" i="6"/>
  <c r="H133" i="6" s="1"/>
  <c r="P58" i="6"/>
  <c r="P66" i="6"/>
  <c r="P68" i="6"/>
  <c r="P70" i="6"/>
  <c r="P76" i="6"/>
  <c r="P78" i="6"/>
  <c r="H79" i="6"/>
  <c r="P80" i="6"/>
  <c r="J139" i="6"/>
  <c r="H140" i="6"/>
  <c r="M10" i="7"/>
  <c r="Q10" i="7" s="1"/>
  <c r="M21" i="7"/>
  <c r="Q21" i="7" s="1"/>
  <c r="M23" i="7"/>
  <c r="Q23" i="7" s="1"/>
  <c r="G24" i="7"/>
  <c r="G8" i="7" s="1"/>
  <c r="M27" i="7"/>
  <c r="I38" i="7"/>
  <c r="I91" i="7" s="1"/>
  <c r="M41" i="7"/>
  <c r="Q41" i="7" s="1"/>
  <c r="M42" i="7"/>
  <c r="Q42" i="7" s="1"/>
  <c r="E38" i="7"/>
  <c r="H10" i="8"/>
  <c r="H110" i="8" s="1"/>
  <c r="M18" i="8"/>
  <c r="Q18" i="8" s="1"/>
  <c r="P47" i="8"/>
  <c r="J41" i="15"/>
  <c r="J56" i="15" s="1"/>
  <c r="J131" i="8"/>
  <c r="P77" i="8"/>
  <c r="G128" i="8"/>
  <c r="K42" i="2"/>
  <c r="P33" i="4"/>
  <c r="F51" i="4"/>
  <c r="K35" i="5"/>
  <c r="I36" i="5"/>
  <c r="K36" i="5"/>
  <c r="M32" i="5"/>
  <c r="I32" i="5"/>
  <c r="M35" i="5"/>
  <c r="H10" i="6"/>
  <c r="P10" i="6" s="1"/>
  <c r="P17" i="6"/>
  <c r="H30" i="6"/>
  <c r="H128" i="6" s="1"/>
  <c r="P35" i="6"/>
  <c r="I42" i="6"/>
  <c r="K63" i="6"/>
  <c r="K135" i="6" s="1"/>
  <c r="J62" i="6"/>
  <c r="P72" i="6"/>
  <c r="I9" i="7"/>
  <c r="M17" i="7"/>
  <c r="Q17" i="7" s="1"/>
  <c r="M19" i="7"/>
  <c r="L24" i="7"/>
  <c r="M32" i="7"/>
  <c r="Q32" i="7" s="1"/>
  <c r="Q35" i="7"/>
  <c r="K38" i="7"/>
  <c r="J38" i="7"/>
  <c r="H45" i="7"/>
  <c r="H97" i="7" s="1"/>
  <c r="L8" i="8"/>
  <c r="L103" i="8" s="1"/>
  <c r="K15" i="21" s="1"/>
  <c r="H36" i="8"/>
  <c r="N36" i="8" s="1"/>
  <c r="N27" i="8" s="1"/>
  <c r="N116" i="8" s="1"/>
  <c r="P39" i="8"/>
  <c r="P43" i="8"/>
  <c r="L63" i="8"/>
  <c r="L130" i="8" s="1"/>
  <c r="M64" i="8"/>
  <c r="M51" i="8" s="1"/>
  <c r="M123" i="8" s="1"/>
  <c r="P73" i="8"/>
  <c r="O28" i="2"/>
  <c r="O10" i="4"/>
  <c r="P10" i="4"/>
  <c r="P13" i="5"/>
  <c r="P15" i="5"/>
  <c r="P17" i="5"/>
  <c r="P19" i="5"/>
  <c r="P21" i="5"/>
  <c r="F32" i="5"/>
  <c r="J32" i="5"/>
  <c r="L32" i="5"/>
  <c r="D37" i="5"/>
  <c r="F40" i="5"/>
  <c r="I41" i="5"/>
  <c r="J42" i="6"/>
  <c r="H48" i="6"/>
  <c r="L63" i="6"/>
  <c r="L135" i="6" s="1"/>
  <c r="M73" i="6"/>
  <c r="D66" i="19" s="1"/>
  <c r="N9" i="7"/>
  <c r="H20" i="7"/>
  <c r="P20" i="7" s="1"/>
  <c r="H34" i="7"/>
  <c r="P34" i="7" s="1"/>
  <c r="L38" i="7"/>
  <c r="M39" i="7"/>
  <c r="M96" i="7" s="1"/>
  <c r="L96" i="7"/>
  <c r="F9" i="15"/>
  <c r="F50" i="15" s="1"/>
  <c r="F120" i="8"/>
  <c r="J132" i="8"/>
  <c r="J96" i="8"/>
  <c r="J138" i="8" s="1"/>
  <c r="G126" i="8"/>
  <c r="H67" i="8"/>
  <c r="G136" i="8"/>
  <c r="H10" i="11"/>
  <c r="E22" i="11"/>
  <c r="D17" i="4" s="1"/>
  <c r="D51" i="4" s="1"/>
  <c r="M23" i="11"/>
  <c r="J49" i="11"/>
  <c r="I23" i="4" s="1"/>
  <c r="I52" i="4" s="1"/>
  <c r="H55" i="11"/>
  <c r="P55" i="11" s="1"/>
  <c r="M57" i="11"/>
  <c r="Q57" i="11" s="1"/>
  <c r="M59" i="11"/>
  <c r="Q59" i="11" s="1"/>
  <c r="H64" i="11"/>
  <c r="N64" i="11" s="1"/>
  <c r="M79" i="11"/>
  <c r="Q79" i="11" s="1"/>
  <c r="G142" i="11"/>
  <c r="M22" i="12"/>
  <c r="Q22" i="12" s="1"/>
  <c r="P30" i="12"/>
  <c r="P39" i="12"/>
  <c r="P43" i="12"/>
  <c r="M48" i="12"/>
  <c r="Q48" i="12" s="1"/>
  <c r="H105" i="12"/>
  <c r="M57" i="12"/>
  <c r="Q57" i="12" s="1"/>
  <c r="M59" i="12"/>
  <c r="Q59" i="12" s="1"/>
  <c r="P62" i="12"/>
  <c r="H110" i="12"/>
  <c r="M65" i="12"/>
  <c r="Q65" i="12" s="1"/>
  <c r="M72" i="12"/>
  <c r="Q72" i="12" s="1"/>
  <c r="M77" i="12"/>
  <c r="Q77" i="12" s="1"/>
  <c r="M80" i="12"/>
  <c r="Q80" i="12" s="1"/>
  <c r="M83" i="12"/>
  <c r="Q83" i="12" s="1"/>
  <c r="Q15" i="13"/>
  <c r="H81" i="13"/>
  <c r="M22" i="13"/>
  <c r="Q22" i="13" s="1"/>
  <c r="P25" i="13"/>
  <c r="M28" i="13"/>
  <c r="M83" i="13" s="1"/>
  <c r="P31" i="13"/>
  <c r="P37" i="13"/>
  <c r="M40" i="13"/>
  <c r="P41" i="13"/>
  <c r="M44" i="13"/>
  <c r="Q44" i="13" s="1"/>
  <c r="P45" i="13"/>
  <c r="M48" i="13"/>
  <c r="Q48" i="13" s="1"/>
  <c r="P49" i="13"/>
  <c r="M52" i="13"/>
  <c r="Q52" i="13" s="1"/>
  <c r="P53" i="13"/>
  <c r="M56" i="13"/>
  <c r="Q56" i="13" s="1"/>
  <c r="P57" i="13"/>
  <c r="P60" i="13"/>
  <c r="M62" i="13"/>
  <c r="Q62" i="13" s="1"/>
  <c r="P67" i="13"/>
  <c r="M69" i="13"/>
  <c r="Q69" i="13" s="1"/>
  <c r="P69" i="13"/>
  <c r="H98" i="13"/>
  <c r="H83" i="13"/>
  <c r="M12" i="14"/>
  <c r="Q12" i="14" s="1"/>
  <c r="M15" i="14"/>
  <c r="Q15" i="14" s="1"/>
  <c r="G45" i="9"/>
  <c r="G19" i="21" s="1"/>
  <c r="E17" i="4"/>
  <c r="E51" i="4" s="1"/>
  <c r="Q67" i="11"/>
  <c r="H82" i="13"/>
  <c r="P28" i="13"/>
  <c r="H86" i="13"/>
  <c r="P40" i="13"/>
  <c r="H90" i="13"/>
  <c r="P62" i="13"/>
  <c r="H87" i="13"/>
  <c r="Q14" i="14"/>
  <c r="M106" i="14"/>
  <c r="G95" i="8"/>
  <c r="G144" i="8" s="1"/>
  <c r="F99" i="8"/>
  <c r="E34" i="4" s="1"/>
  <c r="E59" i="4" s="1"/>
  <c r="G45" i="10"/>
  <c r="G20" i="21" s="1"/>
  <c r="G81" i="11"/>
  <c r="P23" i="11"/>
  <c r="C154" i="20"/>
  <c r="F49" i="11"/>
  <c r="E23" i="4" s="1"/>
  <c r="E52" i="4" s="1"/>
  <c r="I146" i="11"/>
  <c r="P13" i="12"/>
  <c r="P17" i="12"/>
  <c r="M18" i="12"/>
  <c r="M26" i="12"/>
  <c r="Q26" i="12" s="1"/>
  <c r="M44" i="12"/>
  <c r="Q44" i="12" s="1"/>
  <c r="P50" i="12"/>
  <c r="M76" i="12"/>
  <c r="Q76" i="12" s="1"/>
  <c r="P82" i="12"/>
  <c r="H88" i="12"/>
  <c r="Q13" i="13"/>
  <c r="Q17" i="13"/>
  <c r="P18" i="13"/>
  <c r="P21" i="13"/>
  <c r="P27" i="13"/>
  <c r="P39" i="13"/>
  <c r="P43" i="13"/>
  <c r="P47" i="13"/>
  <c r="P51" i="13"/>
  <c r="P55" i="13"/>
  <c r="P59" i="13"/>
  <c r="H94" i="13"/>
  <c r="P61" i="13"/>
  <c r="P68" i="13"/>
  <c r="M76" i="13"/>
  <c r="H95" i="13"/>
  <c r="M11" i="14"/>
  <c r="Q11" i="14" s="1"/>
  <c r="P14" i="14"/>
  <c r="H93" i="13"/>
  <c r="H91" i="13"/>
  <c r="M65" i="13"/>
  <c r="Q65" i="13" s="1"/>
  <c r="P65" i="13"/>
  <c r="H79" i="13"/>
  <c r="E94" i="14"/>
  <c r="E8" i="14"/>
  <c r="H9" i="14"/>
  <c r="P9" i="14" s="1"/>
  <c r="M10" i="14"/>
  <c r="P19" i="14"/>
  <c r="M27" i="14"/>
  <c r="Q27" i="14" s="1"/>
  <c r="P43" i="14"/>
  <c r="P55" i="14"/>
  <c r="P63" i="14"/>
  <c r="P87" i="14"/>
  <c r="M12" i="15"/>
  <c r="Q12" i="15" s="1"/>
  <c r="M14" i="15"/>
  <c r="Q14" i="15" s="1"/>
  <c r="M24" i="15"/>
  <c r="Q24" i="15" s="1"/>
  <c r="P34" i="15"/>
  <c r="P43" i="15"/>
  <c r="L51" i="15"/>
  <c r="M18" i="16"/>
  <c r="M20" i="16"/>
  <c r="Q20" i="16" s="1"/>
  <c r="M30" i="16"/>
  <c r="M31" i="16"/>
  <c r="Q31" i="16" s="1"/>
  <c r="M32" i="16"/>
  <c r="Q32" i="16" s="1"/>
  <c r="M33" i="16"/>
  <c r="Q33" i="16" s="1"/>
  <c r="M34" i="16"/>
  <c r="Q34" i="16" s="1"/>
  <c r="M35" i="16"/>
  <c r="Q35" i="16" s="1"/>
  <c r="M36" i="16"/>
  <c r="Q36" i="16" s="1"/>
  <c r="M37" i="16"/>
  <c r="M38" i="16"/>
  <c r="Q38" i="16" s="1"/>
  <c r="M39" i="16"/>
  <c r="Q39" i="16" s="1"/>
  <c r="M40" i="16"/>
  <c r="Q40" i="16" s="1"/>
  <c r="G67" i="16" a="1"/>
  <c r="G67" i="16" s="1"/>
  <c r="V16" i="18"/>
  <c r="V28" i="18"/>
  <c r="V33" i="18" s="1"/>
  <c r="R30" i="18"/>
  <c r="U32" i="18"/>
  <c r="X32" i="18" s="1"/>
  <c r="H37" i="18"/>
  <c r="M37" i="18" s="1"/>
  <c r="H38" i="18"/>
  <c r="M38" i="18" s="1"/>
  <c r="T67" i="18"/>
  <c r="U81" i="18"/>
  <c r="U84" i="18" s="1"/>
  <c r="H81" i="18"/>
  <c r="M81" i="18" s="1"/>
  <c r="S101" i="18"/>
  <c r="W101" i="18"/>
  <c r="U118" i="18"/>
  <c r="X117" i="18"/>
  <c r="S136" i="18"/>
  <c r="W136" i="18"/>
  <c r="U153" i="18"/>
  <c r="X148" i="18"/>
  <c r="X152" i="18"/>
  <c r="H62" i="14"/>
  <c r="P30" i="16"/>
  <c r="X48" i="18"/>
  <c r="V50" i="18"/>
  <c r="X11" i="18"/>
  <c r="X63" i="18"/>
  <c r="V81" i="18"/>
  <c r="X100" i="18"/>
  <c r="R118" i="18"/>
  <c r="X135" i="18"/>
  <c r="R153" i="18"/>
  <c r="P49" i="14"/>
  <c r="P65" i="14"/>
  <c r="P71" i="14"/>
  <c r="G51" i="15"/>
  <c r="G67" i="15" a="1"/>
  <c r="G67" i="15" s="1"/>
  <c r="G69" i="16" a="1"/>
  <c r="G69" i="16" s="1"/>
  <c r="U16" i="18"/>
  <c r="S16" i="18"/>
  <c r="X13" i="18"/>
  <c r="W16" i="18"/>
  <c r="W29" i="18"/>
  <c r="H34" i="18"/>
  <c r="S29" i="18" s="1"/>
  <c r="X45" i="18"/>
  <c r="W67" i="18"/>
  <c r="R67" i="18"/>
  <c r="H84" i="18"/>
  <c r="S78" i="18"/>
  <c r="X78" i="18" s="1"/>
  <c r="H87" i="18"/>
  <c r="M87" i="18" s="1"/>
  <c r="H88" i="18"/>
  <c r="V80" i="18" s="1"/>
  <c r="H89" i="18"/>
  <c r="X95" i="18"/>
  <c r="V101" i="18"/>
  <c r="X113" i="18"/>
  <c r="T118" i="18"/>
  <c r="X130" i="18"/>
  <c r="V136" i="18"/>
  <c r="T153" i="18"/>
  <c r="X150" i="18"/>
  <c r="P11" i="6"/>
  <c r="P27" i="4"/>
  <c r="D69" i="20"/>
  <c r="K41" i="4"/>
  <c r="K14" i="22" s="1"/>
  <c r="G122" i="6"/>
  <c r="F11" i="2"/>
  <c r="G64" i="3"/>
  <c r="O16" i="2"/>
  <c r="P36" i="4"/>
  <c r="K37" i="4"/>
  <c r="K45" i="4" s="1"/>
  <c r="K18" i="22" s="1"/>
  <c r="O14" i="5"/>
  <c r="O16" i="5"/>
  <c r="O18" i="5"/>
  <c r="O20" i="5"/>
  <c r="H32" i="5"/>
  <c r="L35" i="5"/>
  <c r="J36" i="5"/>
  <c r="J40" i="5"/>
  <c r="F42" i="5"/>
  <c r="L43" i="5"/>
  <c r="E125" i="6"/>
  <c r="H15" i="6"/>
  <c r="P30" i="6"/>
  <c r="F42" i="6"/>
  <c r="H43" i="6"/>
  <c r="P44" i="6"/>
  <c r="M44" i="6"/>
  <c r="C121" i="20"/>
  <c r="G162" i="6"/>
  <c r="G136" i="6"/>
  <c r="H86" i="7"/>
  <c r="H87" i="7"/>
  <c r="P16" i="7"/>
  <c r="H93" i="7"/>
  <c r="P25" i="7"/>
  <c r="O14" i="4"/>
  <c r="O16" i="4"/>
  <c r="F18" i="4"/>
  <c r="F42" i="4" s="1"/>
  <c r="G15" i="22" s="1"/>
  <c r="F27" i="4"/>
  <c r="O29" i="4"/>
  <c r="P14" i="5"/>
  <c r="P16" i="5"/>
  <c r="P20" i="5"/>
  <c r="G42" i="5"/>
  <c r="P39" i="6"/>
  <c r="M39" i="6"/>
  <c r="Q39" i="6" s="1"/>
  <c r="C122" i="20"/>
  <c r="G139" i="6"/>
  <c r="K59" i="2"/>
  <c r="K68" i="2"/>
  <c r="P14" i="4"/>
  <c r="P16" i="4"/>
  <c r="P29" i="4"/>
  <c r="K61" i="4"/>
  <c r="F35" i="5"/>
  <c r="D36" i="5"/>
  <c r="L36" i="5"/>
  <c r="J37" i="5"/>
  <c r="J41" i="5"/>
  <c r="H42" i="5"/>
  <c r="F43" i="5"/>
  <c r="M13" i="6"/>
  <c r="Q13" i="6" s="1"/>
  <c r="M18" i="6"/>
  <c r="M45" i="6"/>
  <c r="Q45" i="6" s="1"/>
  <c r="G63" i="6"/>
  <c r="M64" i="6"/>
  <c r="Q65" i="6"/>
  <c r="F37" i="4"/>
  <c r="F45" i="4" s="1"/>
  <c r="G18" i="22" s="1"/>
  <c r="F52" i="4"/>
  <c r="D53" i="4"/>
  <c r="L53" i="4"/>
  <c r="K32" i="5"/>
  <c r="E36" i="5"/>
  <c r="M36" i="5"/>
  <c r="K37" i="5"/>
  <c r="M40" i="5"/>
  <c r="K41" i="5"/>
  <c r="I42" i="5"/>
  <c r="D124" i="20"/>
  <c r="L157" i="6"/>
  <c r="D81" i="20" a="1"/>
  <c r="D81" i="20" s="1"/>
  <c r="L137" i="6"/>
  <c r="F42" i="2"/>
  <c r="O13" i="5"/>
  <c r="O19" i="5"/>
  <c r="P37" i="6"/>
  <c r="M37" i="6"/>
  <c r="Q37" i="6" s="1"/>
  <c r="M54" i="6"/>
  <c r="Q54" i="6" s="1"/>
  <c r="D121" i="20"/>
  <c r="L162" i="6"/>
  <c r="L154" i="6" a="1"/>
  <c r="L154" i="6" s="1"/>
  <c r="L136" i="6"/>
  <c r="G26" i="2"/>
  <c r="O26" i="2" s="1"/>
  <c r="F59" i="2"/>
  <c r="F66" i="2"/>
  <c r="F12" i="4"/>
  <c r="C69" i="20" s="1"/>
  <c r="O22" i="4"/>
  <c r="N17" i="22" s="1"/>
  <c r="F61" i="4"/>
  <c r="G40" i="5"/>
  <c r="M14" i="6"/>
  <c r="Q14" i="6" s="1"/>
  <c r="F126" i="6"/>
  <c r="M24" i="6"/>
  <c r="Q24" i="6" s="1"/>
  <c r="P29" i="6"/>
  <c r="M32" i="6"/>
  <c r="Q32" i="6" s="1"/>
  <c r="H34" i="6"/>
  <c r="N130" i="6"/>
  <c r="P46" i="6"/>
  <c r="M46" i="6"/>
  <c r="Q46" i="6" s="1"/>
  <c r="H53" i="6"/>
  <c r="K62" i="6"/>
  <c r="H21" i="2"/>
  <c r="K66" i="2"/>
  <c r="K18" i="4"/>
  <c r="K42" i="4" s="1"/>
  <c r="K15" i="22" s="1"/>
  <c r="P22" i="4"/>
  <c r="O17" i="22" s="1"/>
  <c r="K51" i="4"/>
  <c r="G126" i="6"/>
  <c r="P41" i="6"/>
  <c r="M41" i="6"/>
  <c r="Q41" i="6" s="1"/>
  <c r="K131" i="6"/>
  <c r="K42" i="6"/>
  <c r="M50" i="6"/>
  <c r="I132" i="6"/>
  <c r="I52" i="6"/>
  <c r="P55" i="6"/>
  <c r="M55" i="6"/>
  <c r="P56" i="6"/>
  <c r="C81" i="20" a="1"/>
  <c r="C81" i="20" s="1"/>
  <c r="G137" i="6"/>
  <c r="M79" i="6"/>
  <c r="O36" i="4"/>
  <c r="L52" i="6"/>
  <c r="J132" i="6"/>
  <c r="J52" i="6"/>
  <c r="C124" i="20"/>
  <c r="G134" i="6"/>
  <c r="G157" i="6"/>
  <c r="M147" i="6"/>
  <c r="Q67" i="6"/>
  <c r="H59" i="6"/>
  <c r="H73" i="6"/>
  <c r="H84" i="6"/>
  <c r="J9" i="7"/>
  <c r="H135" i="8"/>
  <c r="P89" i="8"/>
  <c r="I24" i="7"/>
  <c r="P27" i="7"/>
  <c r="P36" i="7"/>
  <c r="I87" i="7"/>
  <c r="G88" i="7"/>
  <c r="N93" i="7"/>
  <c r="E110" i="8"/>
  <c r="E9" i="8"/>
  <c r="I22" i="8"/>
  <c r="K9" i="15"/>
  <c r="K50" i="15" s="1"/>
  <c r="K120" i="8"/>
  <c r="C130" i="20"/>
  <c r="G114" i="8"/>
  <c r="E138" i="8"/>
  <c r="G129" i="8"/>
  <c r="H70" i="8"/>
  <c r="N70" i="8" s="1"/>
  <c r="N62" i="8" s="1"/>
  <c r="N129" i="8" s="1"/>
  <c r="P78" i="8"/>
  <c r="M78" i="8"/>
  <c r="Q78" i="8" s="1"/>
  <c r="L118" i="8"/>
  <c r="E62" i="6"/>
  <c r="I63" i="6"/>
  <c r="K9" i="7"/>
  <c r="J24" i="7"/>
  <c r="Q27" i="7"/>
  <c r="Q40" i="7"/>
  <c r="M47" i="7"/>
  <c r="Q47" i="7" s="1"/>
  <c r="M53" i="7"/>
  <c r="J87" i="7"/>
  <c r="H92" i="7"/>
  <c r="I96" i="7"/>
  <c r="P11" i="8"/>
  <c r="M11" i="8"/>
  <c r="J22" i="8"/>
  <c r="H34" i="8"/>
  <c r="N34" i="8" s="1"/>
  <c r="C134" i="20"/>
  <c r="G118" i="8"/>
  <c r="P44" i="8"/>
  <c r="M44" i="8"/>
  <c r="Q44" i="8" s="1"/>
  <c r="N124" i="8"/>
  <c r="N99" i="8"/>
  <c r="P60" i="8"/>
  <c r="M60" i="8"/>
  <c r="Q60" i="8" s="1"/>
  <c r="P72" i="8"/>
  <c r="M72" i="8"/>
  <c r="H50" i="8"/>
  <c r="M85" i="6"/>
  <c r="P11" i="7"/>
  <c r="P15" i="7"/>
  <c r="K24" i="7"/>
  <c r="P28" i="7"/>
  <c r="K87" i="7"/>
  <c r="J96" i="7"/>
  <c r="K22" i="8"/>
  <c r="F22" i="8"/>
  <c r="F113" i="8"/>
  <c r="D130" i="20"/>
  <c r="L114" i="8"/>
  <c r="H38" i="8"/>
  <c r="N38" i="8" s="1"/>
  <c r="N29" i="8" s="1"/>
  <c r="N118" i="8" s="1"/>
  <c r="E139" i="8"/>
  <c r="E122" i="8"/>
  <c r="E49" i="8"/>
  <c r="P65" i="8"/>
  <c r="M65" i="8"/>
  <c r="H52" i="8"/>
  <c r="L87" i="7"/>
  <c r="P15" i="8"/>
  <c r="M15" i="8"/>
  <c r="P48" i="8"/>
  <c r="M48" i="8"/>
  <c r="Q48" i="8" s="1"/>
  <c r="P76" i="8"/>
  <c r="M76" i="8"/>
  <c r="Q76" i="8" s="1"/>
  <c r="C123" i="20"/>
  <c r="G96" i="7"/>
  <c r="P39" i="7"/>
  <c r="E87" i="7"/>
  <c r="E98" i="7"/>
  <c r="J22" i="15"/>
  <c r="J51" i="15" s="1"/>
  <c r="J121" i="8"/>
  <c r="H40" i="8"/>
  <c r="P42" i="8"/>
  <c r="M42" i="8"/>
  <c r="G27" i="15"/>
  <c r="G108" i="8"/>
  <c r="G63" i="8"/>
  <c r="G107" i="8" s="1"/>
  <c r="E124" i="8"/>
  <c r="E99" i="8"/>
  <c r="P58" i="8"/>
  <c r="M58" i="8"/>
  <c r="Q58" i="8" s="1"/>
  <c r="G125" i="8"/>
  <c r="H66" i="8"/>
  <c r="N66" i="8" s="1"/>
  <c r="N53" i="8" s="1"/>
  <c r="N125" i="8" s="1"/>
  <c r="M89" i="8"/>
  <c r="F9" i="7"/>
  <c r="M12" i="7"/>
  <c r="M14" i="7"/>
  <c r="M18" i="7"/>
  <c r="M22" i="7"/>
  <c r="Q26" i="7"/>
  <c r="M29" i="7"/>
  <c r="M33" i="7"/>
  <c r="M46" i="7"/>
  <c r="F87" i="7"/>
  <c r="N87" i="7"/>
  <c r="L88" i="7"/>
  <c r="I104" i="8"/>
  <c r="M19" i="8"/>
  <c r="E112" i="8"/>
  <c r="E22" i="8"/>
  <c r="C129" i="20"/>
  <c r="G113" i="8"/>
  <c r="H33" i="8"/>
  <c r="N33" i="8" s="1"/>
  <c r="N24" i="8" s="1"/>
  <c r="D131" i="20"/>
  <c r="L115" i="8"/>
  <c r="K22" i="15"/>
  <c r="K51" i="15" s="1"/>
  <c r="K121" i="8"/>
  <c r="F139" i="8"/>
  <c r="F123" i="8"/>
  <c r="F49" i="8"/>
  <c r="F141" i="8"/>
  <c r="F98" i="8"/>
  <c r="F140" i="8" s="1"/>
  <c r="K138" i="8"/>
  <c r="L139" i="6"/>
  <c r="P18" i="7"/>
  <c r="P22" i="7"/>
  <c r="P33" i="7"/>
  <c r="P48" i="7"/>
  <c r="G87" i="7"/>
  <c r="P13" i="8"/>
  <c r="M13" i="8"/>
  <c r="Q13" i="8" s="1"/>
  <c r="P19" i="8"/>
  <c r="G159" i="8"/>
  <c r="H112" i="8"/>
  <c r="P23" i="8"/>
  <c r="I9" i="15"/>
  <c r="I50" i="15" s="1"/>
  <c r="I120" i="8"/>
  <c r="M35" i="8"/>
  <c r="C133" i="20"/>
  <c r="G117" i="8"/>
  <c r="H37" i="8"/>
  <c r="N37" i="8" s="1"/>
  <c r="N28" i="8" s="1"/>
  <c r="N117" i="8" s="1"/>
  <c r="D135" i="20"/>
  <c r="L119" i="8"/>
  <c r="P46" i="8"/>
  <c r="M46" i="8"/>
  <c r="Q46" i="8" s="1"/>
  <c r="I49" i="8"/>
  <c r="P51" i="8"/>
  <c r="P69" i="8"/>
  <c r="H61" i="8"/>
  <c r="M69" i="8"/>
  <c r="P74" i="8"/>
  <c r="M74" i="8"/>
  <c r="Q74" i="8" s="1"/>
  <c r="J9" i="15"/>
  <c r="J50" i="15" s="1"/>
  <c r="J120" i="8"/>
  <c r="P35" i="8"/>
  <c r="P56" i="8"/>
  <c r="M56" i="8"/>
  <c r="Q56" i="8" s="1"/>
  <c r="E28" i="15"/>
  <c r="E55" i="15" s="1"/>
  <c r="E130" i="8"/>
  <c r="L29" i="15"/>
  <c r="L57" i="15" s="1"/>
  <c r="F41" i="15"/>
  <c r="F56" i="15" s="1"/>
  <c r="F131" i="8"/>
  <c r="F121" i="8"/>
  <c r="N132" i="8"/>
  <c r="P37" i="11"/>
  <c r="H28" i="11"/>
  <c r="M37" i="11"/>
  <c r="F27" i="16"/>
  <c r="F54" i="16" s="1"/>
  <c r="F123" i="11"/>
  <c r="M142" i="11"/>
  <c r="D24" i="20"/>
  <c r="L45" i="10"/>
  <c r="K20" i="21" s="1"/>
  <c r="Q11" i="11"/>
  <c r="D157" i="20"/>
  <c r="L133" i="11"/>
  <c r="K9" i="8"/>
  <c r="D19" i="20"/>
  <c r="L8" i="15"/>
  <c r="L159" i="8"/>
  <c r="L31" i="8"/>
  <c r="J49" i="8"/>
  <c r="J99" i="8"/>
  <c r="F124" i="8"/>
  <c r="J130" i="8"/>
  <c r="I53" i="17"/>
  <c r="I45" i="9"/>
  <c r="I19" i="21" s="1"/>
  <c r="M72" i="11"/>
  <c r="H71" i="11"/>
  <c r="H50" i="11"/>
  <c r="P72" i="11"/>
  <c r="G8" i="8"/>
  <c r="E9" i="15"/>
  <c r="E50" i="15" s="1"/>
  <c r="E120" i="8"/>
  <c r="D129" i="20"/>
  <c r="C132" i="20"/>
  <c r="D133" i="20"/>
  <c r="K49" i="8"/>
  <c r="J139" i="8"/>
  <c r="G98" i="8"/>
  <c r="G140" i="8" s="1"/>
  <c r="K99" i="8"/>
  <c r="I121" i="8"/>
  <c r="G124" i="8"/>
  <c r="I127" i="8"/>
  <c r="K130" i="8"/>
  <c r="F132" i="8"/>
  <c r="H126" i="11"/>
  <c r="P10" i="11"/>
  <c r="F22" i="16"/>
  <c r="F51" i="16" s="1"/>
  <c r="F137" i="11"/>
  <c r="J94" i="14"/>
  <c r="J8" i="14"/>
  <c r="K139" i="8"/>
  <c r="K123" i="8"/>
  <c r="K132" i="8"/>
  <c r="K127" i="8"/>
  <c r="K41" i="15"/>
  <c r="K56" i="15" s="1"/>
  <c r="K131" i="8"/>
  <c r="F96" i="8"/>
  <c r="F138" i="8" s="1"/>
  <c r="N96" i="8"/>
  <c r="J127" i="8"/>
  <c r="I139" i="8"/>
  <c r="P18" i="11"/>
  <c r="M18" i="11"/>
  <c r="E9" i="16"/>
  <c r="E50" i="16" s="1"/>
  <c r="E136" i="11"/>
  <c r="C19" i="20"/>
  <c r="G8" i="15"/>
  <c r="G106" i="8"/>
  <c r="G31" i="8"/>
  <c r="G105" i="8" s="1"/>
  <c r="C131" i="20"/>
  <c r="G115" i="8"/>
  <c r="D132" i="20"/>
  <c r="L116" i="8"/>
  <c r="C135" i="20"/>
  <c r="G119" i="8"/>
  <c r="N122" i="8"/>
  <c r="Q8" i="10"/>
  <c r="O20" i="21" s="1"/>
  <c r="H24" i="11"/>
  <c r="P33" i="11"/>
  <c r="M33" i="11"/>
  <c r="L95" i="8"/>
  <c r="E53" i="17"/>
  <c r="P8" i="9"/>
  <c r="N19" i="21" s="1"/>
  <c r="E45" i="9"/>
  <c r="D19" i="21" s="1"/>
  <c r="M53" i="17"/>
  <c r="M45" i="9"/>
  <c r="L19" i="21" s="1"/>
  <c r="Q8" i="9"/>
  <c r="O19" i="21" s="1"/>
  <c r="C27" i="20"/>
  <c r="G119" i="11"/>
  <c r="J126" i="11"/>
  <c r="J9" i="11"/>
  <c r="P20" i="11"/>
  <c r="M20" i="11"/>
  <c r="Q20" i="11" s="1"/>
  <c r="D153" i="20"/>
  <c r="L129" i="11"/>
  <c r="C156" i="20"/>
  <c r="G132" i="11"/>
  <c r="H36" i="11"/>
  <c r="N36" i="11" s="1"/>
  <c r="N27" i="11" s="1"/>
  <c r="N132" i="11" s="1"/>
  <c r="M58" i="11"/>
  <c r="Q58" i="11" s="1"/>
  <c r="P58" i="11"/>
  <c r="H87" i="12"/>
  <c r="Q10" i="12"/>
  <c r="P10" i="12"/>
  <c r="Q18" i="12"/>
  <c r="H99" i="12"/>
  <c r="P42" i="12"/>
  <c r="M42" i="12"/>
  <c r="Q42" i="12" s="1"/>
  <c r="P58" i="12"/>
  <c r="M58" i="12"/>
  <c r="Q58" i="12" s="1"/>
  <c r="E127" i="8"/>
  <c r="E132" i="8"/>
  <c r="E41" i="15"/>
  <c r="E56" i="15" s="1"/>
  <c r="E131" i="8"/>
  <c r="I138" i="8"/>
  <c r="L108" i="8"/>
  <c r="L113" i="8"/>
  <c r="E121" i="8"/>
  <c r="L135" i="8"/>
  <c r="H17" i="11"/>
  <c r="H9" i="11" s="1"/>
  <c r="K9" i="11"/>
  <c r="D28" i="20"/>
  <c r="D33" i="20"/>
  <c r="L8" i="16"/>
  <c r="L121" i="11"/>
  <c r="L81" i="11"/>
  <c r="L120" i="11"/>
  <c r="E22" i="16"/>
  <c r="E51" i="16" s="1"/>
  <c r="E137" i="11"/>
  <c r="P60" i="11"/>
  <c r="J28" i="16"/>
  <c r="J55" i="16" s="1"/>
  <c r="J146" i="11"/>
  <c r="P74" i="11"/>
  <c r="K148" i="11"/>
  <c r="Q28" i="12"/>
  <c r="H113" i="12"/>
  <c r="H111" i="12"/>
  <c r="H114" i="12"/>
  <c r="P74" i="12"/>
  <c r="H112" i="12"/>
  <c r="M74" i="12"/>
  <c r="P80" i="14"/>
  <c r="M80" i="14"/>
  <c r="Q80" i="14" s="1"/>
  <c r="H78" i="14"/>
  <c r="P26" i="16"/>
  <c r="M26" i="16"/>
  <c r="Q26" i="16" s="1"/>
  <c r="F8" i="16"/>
  <c r="F120" i="11"/>
  <c r="F121" i="11"/>
  <c r="F9" i="16"/>
  <c r="F50" i="16" s="1"/>
  <c r="F136" i="11"/>
  <c r="G27" i="16"/>
  <c r="G123" i="11"/>
  <c r="G122" i="11"/>
  <c r="P51" i="12"/>
  <c r="M51" i="12"/>
  <c r="Q51" i="12" s="1"/>
  <c r="H45" i="10"/>
  <c r="H20" i="21" s="1"/>
  <c r="E9" i="11"/>
  <c r="C28" i="20"/>
  <c r="C33" i="20"/>
  <c r="G8" i="16"/>
  <c r="G31" i="11"/>
  <c r="G120" i="11" s="1"/>
  <c r="J22" i="16"/>
  <c r="J51" i="16" s="1"/>
  <c r="J137" i="11"/>
  <c r="E138" i="11"/>
  <c r="E49" i="11"/>
  <c r="E28" i="16"/>
  <c r="E55" i="16" s="1"/>
  <c r="E146" i="11"/>
  <c r="H65" i="11"/>
  <c r="N65" i="11" s="1"/>
  <c r="N52" i="11" s="1"/>
  <c r="N140" i="11" s="1"/>
  <c r="H69" i="11"/>
  <c r="N69" i="11" s="1"/>
  <c r="N61" i="11" s="1"/>
  <c r="N144" i="11" s="1"/>
  <c r="G130" i="11"/>
  <c r="K136" i="11"/>
  <c r="E143" i="11"/>
  <c r="P8" i="10"/>
  <c r="N20" i="21" s="1"/>
  <c r="F9" i="11"/>
  <c r="M12" i="11"/>
  <c r="Q12" i="11" s="1"/>
  <c r="C158" i="20"/>
  <c r="D159" i="20"/>
  <c r="L135" i="11"/>
  <c r="K22" i="16"/>
  <c r="K51" i="16" s="1"/>
  <c r="K137" i="11"/>
  <c r="I49" i="11"/>
  <c r="I81" i="11" s="1"/>
  <c r="H54" i="11"/>
  <c r="P56" i="11"/>
  <c r="P67" i="11"/>
  <c r="P78" i="11"/>
  <c r="M84" i="13"/>
  <c r="I8" i="16"/>
  <c r="I121" i="11"/>
  <c r="I9" i="16"/>
  <c r="I50" i="16" s="1"/>
  <c r="I136" i="11"/>
  <c r="D155" i="20"/>
  <c r="L131" i="11"/>
  <c r="H22" i="16"/>
  <c r="J27" i="16"/>
  <c r="G29" i="16"/>
  <c r="G28" i="16"/>
  <c r="I137" i="11"/>
  <c r="P35" i="12"/>
  <c r="M35" i="12"/>
  <c r="Q35" i="12" s="1"/>
  <c r="Q55" i="13"/>
  <c r="M92" i="13"/>
  <c r="H45" i="9"/>
  <c r="H19" i="21" s="1"/>
  <c r="I9" i="11"/>
  <c r="M19" i="11"/>
  <c r="Q19" i="11" s="1"/>
  <c r="M21" i="11"/>
  <c r="Q21" i="11" s="1"/>
  <c r="J22" i="11"/>
  <c r="J9" i="16"/>
  <c r="J50" i="16" s="1"/>
  <c r="J136" i="11"/>
  <c r="H34" i="11"/>
  <c r="N34" i="11" s="1"/>
  <c r="N25" i="11" s="1"/>
  <c r="N130" i="11" s="1"/>
  <c r="M35" i="11"/>
  <c r="D158" i="20"/>
  <c r="L134" i="11"/>
  <c r="M42" i="11"/>
  <c r="M44" i="11"/>
  <c r="Q44" i="11" s="1"/>
  <c r="M46" i="11"/>
  <c r="Q46" i="11" s="1"/>
  <c r="M48" i="11"/>
  <c r="K49" i="11"/>
  <c r="G141" i="11"/>
  <c r="H66" i="11"/>
  <c r="N66" i="11" s="1"/>
  <c r="N53" i="11" s="1"/>
  <c r="N141" i="11" s="1"/>
  <c r="G145" i="11"/>
  <c r="H70" i="11"/>
  <c r="N70" i="11" s="1"/>
  <c r="N62" i="11" s="1"/>
  <c r="N145" i="11" s="1"/>
  <c r="J41" i="16"/>
  <c r="J56" i="16" s="1"/>
  <c r="J147" i="11"/>
  <c r="P76" i="11"/>
  <c r="I120" i="11"/>
  <c r="K22" i="11"/>
  <c r="C153" i="20"/>
  <c r="G129" i="11"/>
  <c r="D154" i="20"/>
  <c r="L130" i="11"/>
  <c r="C157" i="20"/>
  <c r="G133" i="11"/>
  <c r="P42" i="11"/>
  <c r="L27" i="16"/>
  <c r="L123" i="11"/>
  <c r="L63" i="11"/>
  <c r="J143" i="11"/>
  <c r="J148" i="11"/>
  <c r="K41" i="16"/>
  <c r="K56" i="16" s="1"/>
  <c r="K147" i="11"/>
  <c r="G121" i="11"/>
  <c r="F146" i="11"/>
  <c r="H93" i="12"/>
  <c r="H97" i="12"/>
  <c r="P64" i="12"/>
  <c r="H96" i="12"/>
  <c r="H103" i="12"/>
  <c r="H77" i="13"/>
  <c r="P15" i="13"/>
  <c r="M85" i="13"/>
  <c r="M91" i="13"/>
  <c r="I8" i="14"/>
  <c r="Q16" i="14"/>
  <c r="P21" i="14"/>
  <c r="H18" i="14"/>
  <c r="M21" i="14"/>
  <c r="Q21" i="14" s="1"/>
  <c r="F143" i="11"/>
  <c r="F147" i="11"/>
  <c r="P18" i="12"/>
  <c r="P28" i="12"/>
  <c r="H101" i="12"/>
  <c r="H98" i="12"/>
  <c r="H104" i="12"/>
  <c r="P10" i="13"/>
  <c r="H75" i="13"/>
  <c r="P13" i="13"/>
  <c r="H76" i="13"/>
  <c r="M79" i="13"/>
  <c r="M81" i="13"/>
  <c r="Q28" i="13"/>
  <c r="M101" i="12"/>
  <c r="H92" i="12"/>
  <c r="M75" i="13"/>
  <c r="Q10" i="13"/>
  <c r="M88" i="13"/>
  <c r="F88" i="14"/>
  <c r="F92" i="14"/>
  <c r="L92" i="14"/>
  <c r="L88" i="14"/>
  <c r="G100" i="14"/>
  <c r="G8" i="14"/>
  <c r="K22" i="22"/>
  <c r="K23" i="21"/>
  <c r="M31" i="12"/>
  <c r="Q31" i="12" s="1"/>
  <c r="M38" i="12"/>
  <c r="Q38" i="12" s="1"/>
  <c r="M47" i="12"/>
  <c r="Q47" i="12" s="1"/>
  <c r="M54" i="12"/>
  <c r="Q54" i="12" s="1"/>
  <c r="M70" i="12"/>
  <c r="Q70" i="12" s="1"/>
  <c r="H106" i="12"/>
  <c r="N88" i="14"/>
  <c r="N92" i="14"/>
  <c r="P34" i="14"/>
  <c r="M34" i="14"/>
  <c r="Q34" i="14" s="1"/>
  <c r="H31" i="14"/>
  <c r="C155" i="20"/>
  <c r="D156" i="20"/>
  <c r="C159" i="20"/>
  <c r="I143" i="11"/>
  <c r="K146" i="11"/>
  <c r="I147" i="11"/>
  <c r="M19" i="12"/>
  <c r="M91" i="12" s="1"/>
  <c r="M21" i="12"/>
  <c r="Q21" i="12" s="1"/>
  <c r="M23" i="12"/>
  <c r="Q23" i="12" s="1"/>
  <c r="M25" i="12"/>
  <c r="Q25" i="12" s="1"/>
  <c r="M27" i="12"/>
  <c r="Q27" i="12" s="1"/>
  <c r="M29" i="12"/>
  <c r="Q29" i="12" s="1"/>
  <c r="M36" i="12"/>
  <c r="Q36" i="12" s="1"/>
  <c r="Q40" i="12"/>
  <c r="M45" i="12"/>
  <c r="Q45" i="12" s="1"/>
  <c r="M52" i="12"/>
  <c r="M68" i="12"/>
  <c r="Q68" i="12" s="1"/>
  <c r="H94" i="12"/>
  <c r="H100" i="12"/>
  <c r="H94" i="14"/>
  <c r="Q19" i="14"/>
  <c r="P15" i="12"/>
  <c r="P52" i="12"/>
  <c r="H109" i="12"/>
  <c r="H107" i="12"/>
  <c r="M88" i="12"/>
  <c r="H95" i="12"/>
  <c r="H108" i="12"/>
  <c r="H78" i="13"/>
  <c r="P17" i="13"/>
  <c r="M95" i="13"/>
  <c r="Q10" i="14"/>
  <c r="P62" i="14"/>
  <c r="H101" i="14"/>
  <c r="P74" i="14"/>
  <c r="M74" i="14"/>
  <c r="Q74" i="14" s="1"/>
  <c r="H69" i="14"/>
  <c r="G23" i="21"/>
  <c r="G22" i="22"/>
  <c r="Q15" i="12"/>
  <c r="Q17" i="12"/>
  <c r="M110" i="12"/>
  <c r="M109" i="12"/>
  <c r="H102" i="12"/>
  <c r="M80" i="13"/>
  <c r="M96" i="13"/>
  <c r="M36" i="15"/>
  <c r="Q36" i="15" s="1"/>
  <c r="P36" i="15"/>
  <c r="M40" i="15"/>
  <c r="Q40" i="15" s="1"/>
  <c r="O41" i="22" s="1"/>
  <c r="P40" i="15"/>
  <c r="N41" i="22" s="1"/>
  <c r="P26" i="14"/>
  <c r="M26" i="14"/>
  <c r="Q26" i="14" s="1"/>
  <c r="P68" i="14"/>
  <c r="M68" i="14"/>
  <c r="Q68" i="14" s="1"/>
  <c r="L94" i="14"/>
  <c r="J45" i="17"/>
  <c r="J53" i="17"/>
  <c r="M77" i="13"/>
  <c r="M89" i="13"/>
  <c r="M93" i="13"/>
  <c r="M97" i="13"/>
  <c r="M29" i="14"/>
  <c r="Q29" i="14" s="1"/>
  <c r="P38" i="14"/>
  <c r="M38" i="14"/>
  <c r="Q38" i="14" s="1"/>
  <c r="P44" i="14"/>
  <c r="M44" i="14"/>
  <c r="Q44" i="14" s="1"/>
  <c r="P47" i="14"/>
  <c r="P50" i="14"/>
  <c r="M50" i="14"/>
  <c r="Q50" i="14" s="1"/>
  <c r="P53" i="14"/>
  <c r="P56" i="14"/>
  <c r="M56" i="14"/>
  <c r="P59" i="14"/>
  <c r="P84" i="14"/>
  <c r="M84" i="14"/>
  <c r="Q84" i="14" s="1"/>
  <c r="C109" i="20" a="1"/>
  <c r="C109" i="20" s="1"/>
  <c r="G69" i="15" a="1"/>
  <c r="G69" i="15" s="1"/>
  <c r="H53" i="15"/>
  <c r="K45" i="17"/>
  <c r="J21" i="21" s="1"/>
  <c r="K53" i="17"/>
  <c r="M27" i="13"/>
  <c r="M39" i="13"/>
  <c r="Q39" i="13" s="1"/>
  <c r="M51" i="13"/>
  <c r="Q51" i="13" s="1"/>
  <c r="M61" i="13"/>
  <c r="Q61" i="13" s="1"/>
  <c r="M71" i="13"/>
  <c r="Q71" i="13" s="1"/>
  <c r="H80" i="13"/>
  <c r="H84" i="13"/>
  <c r="H88" i="13"/>
  <c r="H92" i="13"/>
  <c r="H96" i="13"/>
  <c r="P32" i="14"/>
  <c r="M32" i="14"/>
  <c r="P35" i="14"/>
  <c r="P72" i="14"/>
  <c r="M72" i="14"/>
  <c r="Q72" i="14" s="1"/>
  <c r="D109" i="20" a="1"/>
  <c r="D109" i="20" s="1"/>
  <c r="L56" i="15"/>
  <c r="L69" i="15" a="1"/>
  <c r="L69" i="15" s="1"/>
  <c r="L56" i="16"/>
  <c r="L69" i="16" a="1"/>
  <c r="L69" i="16" s="1"/>
  <c r="M78" i="13"/>
  <c r="P22" i="14"/>
  <c r="M22" i="14"/>
  <c r="Q22" i="14" s="1"/>
  <c r="H41" i="14"/>
  <c r="P54" i="14"/>
  <c r="M54" i="14"/>
  <c r="Q54" i="14" s="1"/>
  <c r="P60" i="14"/>
  <c r="M60" i="14"/>
  <c r="Q60" i="14" s="1"/>
  <c r="P66" i="14"/>
  <c r="M66" i="14"/>
  <c r="Q66" i="14" s="1"/>
  <c r="E88" i="14"/>
  <c r="K8" i="14"/>
  <c r="H24" i="14"/>
  <c r="P30" i="14"/>
  <c r="M30" i="14"/>
  <c r="Q30" i="14" s="1"/>
  <c r="P36" i="14"/>
  <c r="M36" i="14"/>
  <c r="Q36" i="14" s="1"/>
  <c r="P39" i="14"/>
  <c r="P42" i="14"/>
  <c r="M42" i="14"/>
  <c r="P45" i="14"/>
  <c r="P51" i="14"/>
  <c r="P57" i="14"/>
  <c r="P76" i="14"/>
  <c r="M76" i="14"/>
  <c r="Q76" i="14" s="1"/>
  <c r="P82" i="14"/>
  <c r="M82" i="14"/>
  <c r="Q82" i="14" s="1"/>
  <c r="P15" i="15"/>
  <c r="M15" i="15"/>
  <c r="Q15" i="15" s="1"/>
  <c r="M42" i="15"/>
  <c r="Q42" i="15" s="1"/>
  <c r="P42" i="15"/>
  <c r="M24" i="16"/>
  <c r="Q24" i="16" s="1"/>
  <c r="F53" i="17"/>
  <c r="N53" i="17"/>
  <c r="Q17" i="14"/>
  <c r="P20" i="14"/>
  <c r="M20" i="14"/>
  <c r="Q20" i="14" s="1"/>
  <c r="P33" i="14"/>
  <c r="P70" i="14"/>
  <c r="M70" i="14"/>
  <c r="P16" i="15"/>
  <c r="M16" i="15"/>
  <c r="Q16" i="15" s="1"/>
  <c r="E92" i="14"/>
  <c r="H109" i="14"/>
  <c r="P28" i="14"/>
  <c r="M28" i="14"/>
  <c r="Q28" i="14" s="1"/>
  <c r="P40" i="14"/>
  <c r="M40" i="14"/>
  <c r="Q40" i="14" s="1"/>
  <c r="P46" i="14"/>
  <c r="M46" i="14"/>
  <c r="Q46" i="14" s="1"/>
  <c r="H48" i="14"/>
  <c r="P52" i="14"/>
  <c r="M52" i="14"/>
  <c r="Q52" i="14" s="1"/>
  <c r="P58" i="14"/>
  <c r="M58" i="14"/>
  <c r="Q58" i="14" s="1"/>
  <c r="P64" i="14"/>
  <c r="M64" i="14"/>
  <c r="P86" i="14"/>
  <c r="M86" i="14"/>
  <c r="Q86" i="14" s="1"/>
  <c r="M35" i="15"/>
  <c r="Q35" i="15" s="1"/>
  <c r="P35" i="15"/>
  <c r="G56" i="15"/>
  <c r="D51" i="19"/>
  <c r="Q18" i="16"/>
  <c r="C32" i="20"/>
  <c r="G53" i="17"/>
  <c r="P8" i="17"/>
  <c r="N21" i="21" s="1"/>
  <c r="R27" i="18"/>
  <c r="H26" i="18"/>
  <c r="M11" i="15"/>
  <c r="M19" i="15"/>
  <c r="Q19" i="15" s="1"/>
  <c r="P31" i="15"/>
  <c r="P39" i="15"/>
  <c r="P45" i="15"/>
  <c r="D41" i="19"/>
  <c r="Q17" i="16"/>
  <c r="U33" i="18"/>
  <c r="T16" i="18"/>
  <c r="X12" i="18"/>
  <c r="X15" i="18"/>
  <c r="X46" i="18"/>
  <c r="T50" i="18"/>
  <c r="X10" i="18"/>
  <c r="R16" i="18"/>
  <c r="X14" i="18"/>
  <c r="H58" i="15"/>
  <c r="M30" i="15"/>
  <c r="W33" i="18"/>
  <c r="V83" i="18"/>
  <c r="P38" i="15"/>
  <c r="M34" i="18"/>
  <c r="M35" i="18"/>
  <c r="L67" i="15" a="1"/>
  <c r="L67" i="15" s="1"/>
  <c r="S50" i="18"/>
  <c r="M84" i="18"/>
  <c r="R80" i="18"/>
  <c r="X96" i="18"/>
  <c r="X133" i="18"/>
  <c r="D38" i="19"/>
  <c r="X49" i="18"/>
  <c r="X62" i="18"/>
  <c r="S84" i="18"/>
  <c r="H86" i="18"/>
  <c r="U136" i="18"/>
  <c r="W153" i="18"/>
  <c r="L53" i="17"/>
  <c r="H31" i="18"/>
  <c r="S67" i="18"/>
  <c r="M88" i="18"/>
  <c r="M89" i="18"/>
  <c r="W80" i="18"/>
  <c r="X115" i="18"/>
  <c r="D44" i="19"/>
  <c r="S31" i="18"/>
  <c r="X31" i="18" s="1"/>
  <c r="U50" i="18"/>
  <c r="X66" i="18"/>
  <c r="X82" i="18"/>
  <c r="Q8" i="17"/>
  <c r="O21" i="21" s="1"/>
  <c r="L45" i="17"/>
  <c r="K21" i="21" s="1"/>
  <c r="H27" i="18"/>
  <c r="H77" i="18"/>
  <c r="T82" i="18"/>
  <c r="X98" i="18"/>
  <c r="H28" i="18"/>
  <c r="H29" i="18"/>
  <c r="H30" i="18"/>
  <c r="H33" i="18"/>
  <c r="M33" i="18" s="1"/>
  <c r="H36" i="18"/>
  <c r="M36" i="18" s="1"/>
  <c r="W50" i="18"/>
  <c r="X47" i="18"/>
  <c r="U67" i="18"/>
  <c r="R79" i="18"/>
  <c r="X79" i="18" s="1"/>
  <c r="H78" i="18"/>
  <c r="M79" i="18"/>
  <c r="U101" i="18"/>
  <c r="W118" i="18"/>
  <c r="X131" i="18"/>
  <c r="H82" i="18"/>
  <c r="H85" i="18"/>
  <c r="M85" i="18" s="1"/>
  <c r="X97" i="18"/>
  <c r="X114" i="18"/>
  <c r="X132" i="18"/>
  <c r="X149" i="18"/>
  <c r="H80" i="18"/>
  <c r="D43" i="20" l="1"/>
  <c r="N113" i="8"/>
  <c r="M43" i="2"/>
  <c r="N81" i="3"/>
  <c r="M38" i="2"/>
  <c r="N85" i="3"/>
  <c r="N41" i="15"/>
  <c r="N56" i="15" s="1"/>
  <c r="N131" i="8"/>
  <c r="N138" i="8"/>
  <c r="N139" i="8"/>
  <c r="P67" i="8"/>
  <c r="N67" i="8"/>
  <c r="N54" i="8" s="1"/>
  <c r="N126" i="8" s="1"/>
  <c r="P39" i="11"/>
  <c r="N39" i="11"/>
  <c r="N30" i="11" s="1"/>
  <c r="N135" i="11" s="1"/>
  <c r="P68" i="11"/>
  <c r="N68" i="11"/>
  <c r="N55" i="11" s="1"/>
  <c r="N82" i="3"/>
  <c r="N71" i="11"/>
  <c r="N40" i="11"/>
  <c r="N23" i="11"/>
  <c r="N10" i="11"/>
  <c r="N89" i="8"/>
  <c r="N135" i="8" s="1"/>
  <c r="M16" i="2"/>
  <c r="N24" i="7"/>
  <c r="N56" i="6"/>
  <c r="N30" i="6"/>
  <c r="N63" i="11"/>
  <c r="N51" i="11"/>
  <c r="H26" i="11"/>
  <c r="N35" i="11"/>
  <c r="N26" i="11" s="1"/>
  <c r="N131" i="11" s="1"/>
  <c r="P38" i="11"/>
  <c r="N38" i="11"/>
  <c r="N29" i="11" s="1"/>
  <c r="N134" i="11" s="1"/>
  <c r="N77" i="3"/>
  <c r="M28" i="2"/>
  <c r="N39" i="7"/>
  <c r="N34" i="7"/>
  <c r="N20" i="7"/>
  <c r="N48" i="6"/>
  <c r="N10" i="6"/>
  <c r="N124" i="6" s="1"/>
  <c r="M27" i="2"/>
  <c r="N76" i="3"/>
  <c r="N31" i="11"/>
  <c r="P40" i="11"/>
  <c r="H29" i="11"/>
  <c r="P29" i="11" s="1"/>
  <c r="P35" i="11"/>
  <c r="P26" i="8"/>
  <c r="N40" i="8"/>
  <c r="N31" i="8"/>
  <c r="N25" i="8"/>
  <c r="J136" i="8"/>
  <c r="N17" i="8"/>
  <c r="N10" i="8"/>
  <c r="N75" i="3" s="1"/>
  <c r="M15" i="2"/>
  <c r="N68" i="3"/>
  <c r="D42" i="20"/>
  <c r="M145" i="6"/>
  <c r="Q61" i="6"/>
  <c r="M59" i="6"/>
  <c r="M144" i="6" s="1"/>
  <c r="M140" i="6"/>
  <c r="N140" i="6"/>
  <c r="N79" i="6"/>
  <c r="N137" i="6" s="1"/>
  <c r="N139" i="6"/>
  <c r="N63" i="6"/>
  <c r="P22" i="5"/>
  <c r="E40" i="5"/>
  <c r="O22" i="5"/>
  <c r="D11" i="20"/>
  <c r="K48" i="4"/>
  <c r="D18" i="20"/>
  <c r="H54" i="8"/>
  <c r="P54" i="8" s="1"/>
  <c r="C11" i="20"/>
  <c r="P30" i="8"/>
  <c r="F68" i="2"/>
  <c r="Q64" i="8"/>
  <c r="D27" i="20"/>
  <c r="X28" i="18"/>
  <c r="X30" i="18"/>
  <c r="J126" i="6"/>
  <c r="X83" i="18"/>
  <c r="F135" i="6"/>
  <c r="H21" i="6"/>
  <c r="H9" i="6" s="1"/>
  <c r="X81" i="18"/>
  <c r="L119" i="11"/>
  <c r="K21" i="22" s="1"/>
  <c r="J123" i="11"/>
  <c r="J122" i="11"/>
  <c r="M55" i="11"/>
  <c r="Q55" i="11" s="1"/>
  <c r="M39" i="11"/>
  <c r="Q39" i="11" s="1"/>
  <c r="H30" i="11"/>
  <c r="H63" i="11"/>
  <c r="H28" i="16" s="1"/>
  <c r="H148" i="11"/>
  <c r="M29" i="11"/>
  <c r="M134" i="11" s="1"/>
  <c r="E120" i="11"/>
  <c r="D23" i="22" s="1"/>
  <c r="D47" i="20"/>
  <c r="P45" i="7"/>
  <c r="F73" i="3"/>
  <c r="E89" i="7"/>
  <c r="E71" i="3"/>
  <c r="D19" i="2"/>
  <c r="H75" i="3"/>
  <c r="P71" i="8"/>
  <c r="H131" i="8"/>
  <c r="H41" i="15"/>
  <c r="H56" i="15" s="1"/>
  <c r="H9" i="8"/>
  <c r="H136" i="8" s="1"/>
  <c r="H85" i="3"/>
  <c r="I141" i="8"/>
  <c r="I130" i="8"/>
  <c r="H37" i="4"/>
  <c r="H45" i="4" s="1"/>
  <c r="I18" i="22" s="1"/>
  <c r="I98" i="8"/>
  <c r="I140" i="8" s="1"/>
  <c r="P63" i="8"/>
  <c r="Q51" i="8"/>
  <c r="M67" i="8"/>
  <c r="M54" i="8" s="1"/>
  <c r="E37" i="4"/>
  <c r="E45" i="4" s="1"/>
  <c r="E18" i="22" s="1"/>
  <c r="M112" i="8"/>
  <c r="I8" i="8"/>
  <c r="I103" i="8" s="1"/>
  <c r="I15" i="21" s="1"/>
  <c r="F136" i="8"/>
  <c r="Q16" i="8"/>
  <c r="M77" i="3"/>
  <c r="L28" i="2"/>
  <c r="P28" i="2" s="1"/>
  <c r="I9" i="4"/>
  <c r="I47" i="4" s="1"/>
  <c r="I25" i="2"/>
  <c r="J74" i="3"/>
  <c r="F74" i="3"/>
  <c r="E9" i="4"/>
  <c r="E47" i="4" s="1"/>
  <c r="E25" i="2"/>
  <c r="Q26" i="6"/>
  <c r="M22" i="6"/>
  <c r="V29" i="18"/>
  <c r="P68" i="8"/>
  <c r="H55" i="8"/>
  <c r="M68" i="8"/>
  <c r="G91" i="7"/>
  <c r="G73" i="3"/>
  <c r="F21" i="2"/>
  <c r="H9" i="4"/>
  <c r="H47" i="4" s="1"/>
  <c r="I74" i="3"/>
  <c r="H25" i="2"/>
  <c r="I84" i="3"/>
  <c r="H37" i="2"/>
  <c r="G55" i="16"/>
  <c r="M9" i="14"/>
  <c r="Q34" i="7"/>
  <c r="H24" i="7"/>
  <c r="P24" i="7" s="1"/>
  <c r="E86" i="7"/>
  <c r="E67" i="3"/>
  <c r="D14" i="2"/>
  <c r="F89" i="7"/>
  <c r="E19" i="2"/>
  <c r="F71" i="3"/>
  <c r="M136" i="6"/>
  <c r="Q73" i="6"/>
  <c r="H139" i="6"/>
  <c r="H63" i="6"/>
  <c r="P63" i="6" s="1"/>
  <c r="E12" i="2"/>
  <c r="F141" i="6"/>
  <c r="M103" i="7"/>
  <c r="Q39" i="7"/>
  <c r="H69" i="3"/>
  <c r="G17" i="2"/>
  <c r="O17" i="2" s="1"/>
  <c r="H38" i="7"/>
  <c r="H91" i="7" s="1"/>
  <c r="H96" i="7"/>
  <c r="P31" i="7"/>
  <c r="D21" i="19"/>
  <c r="D82" i="19"/>
  <c r="Q15" i="7"/>
  <c r="L16" i="2"/>
  <c r="P16" i="2" s="1"/>
  <c r="H124" i="6"/>
  <c r="E9" i="6"/>
  <c r="E120" i="6" s="1"/>
  <c r="L9" i="6"/>
  <c r="L62" i="3" s="1"/>
  <c r="K9" i="6"/>
  <c r="K120" i="6" s="1"/>
  <c r="H127" i="6"/>
  <c r="G149" i="11"/>
  <c r="F30" i="4"/>
  <c r="F58" i="4" s="1"/>
  <c r="H72" i="3"/>
  <c r="G20" i="2"/>
  <c r="H27" i="8"/>
  <c r="P36" i="8"/>
  <c r="M36" i="8"/>
  <c r="K91" i="7"/>
  <c r="K73" i="3"/>
  <c r="J21" i="2"/>
  <c r="D45" i="20"/>
  <c r="Q19" i="7"/>
  <c r="J141" i="6"/>
  <c r="J65" i="3"/>
  <c r="I12" i="2"/>
  <c r="J123" i="6"/>
  <c r="E121" i="6"/>
  <c r="D10" i="2"/>
  <c r="E63" i="3"/>
  <c r="M58" i="16"/>
  <c r="Q30" i="16"/>
  <c r="M87" i="13"/>
  <c r="Q40" i="13"/>
  <c r="G18" i="2"/>
  <c r="O18" i="2" s="1"/>
  <c r="H70" i="3"/>
  <c r="K37" i="2"/>
  <c r="K61" i="2" s="1"/>
  <c r="L84" i="3"/>
  <c r="E91" i="7"/>
  <c r="E73" i="3"/>
  <c r="D21" i="2"/>
  <c r="H137" i="6"/>
  <c r="P79" i="6"/>
  <c r="L20" i="2"/>
  <c r="M72" i="3"/>
  <c r="M25" i="7"/>
  <c r="G54" i="16"/>
  <c r="M102" i="12"/>
  <c r="M99" i="12"/>
  <c r="H143" i="11"/>
  <c r="J54" i="16"/>
  <c r="M107" i="12"/>
  <c r="F81" i="11"/>
  <c r="F149" i="11" s="1"/>
  <c r="E121" i="11"/>
  <c r="L107" i="8"/>
  <c r="L28" i="15"/>
  <c r="L54" i="15" s="1"/>
  <c r="M10" i="6"/>
  <c r="Q10" i="6" s="1"/>
  <c r="L62" i="6"/>
  <c r="L65" i="3" s="1"/>
  <c r="H90" i="7"/>
  <c r="P10" i="8"/>
  <c r="M56" i="6"/>
  <c r="M133" i="6" s="1"/>
  <c r="M90" i="7"/>
  <c r="U80" i="18"/>
  <c r="D54" i="19"/>
  <c r="D48" i="19" s="1"/>
  <c r="Q37" i="16"/>
  <c r="M64" i="11"/>
  <c r="P64" i="11"/>
  <c r="H51" i="11"/>
  <c r="N86" i="7"/>
  <c r="N67" i="3"/>
  <c r="M14" i="2"/>
  <c r="H131" i="6"/>
  <c r="P48" i="6"/>
  <c r="I86" i="7"/>
  <c r="I67" i="3"/>
  <c r="H14" i="2"/>
  <c r="G89" i="7"/>
  <c r="F19" i="2"/>
  <c r="G71" i="3"/>
  <c r="K122" i="6"/>
  <c r="J11" i="2"/>
  <c r="K64" i="3"/>
  <c r="H67" i="3"/>
  <c r="G14" i="2"/>
  <c r="M94" i="13"/>
  <c r="I49" i="16"/>
  <c r="F122" i="11"/>
  <c r="E25" i="21" s="1"/>
  <c r="E8" i="16"/>
  <c r="E49" i="16" s="1"/>
  <c r="F8" i="8"/>
  <c r="F103" i="8" s="1"/>
  <c r="E15" i="21" s="1"/>
  <c r="E8" i="7"/>
  <c r="E111" i="14" s="1"/>
  <c r="D34" i="22" s="1"/>
  <c r="H88" i="7"/>
  <c r="M30" i="6"/>
  <c r="M128" i="6" s="1"/>
  <c r="G9" i="6"/>
  <c r="F9" i="2" s="1"/>
  <c r="I73" i="3"/>
  <c r="M105" i="7"/>
  <c r="G79" i="3"/>
  <c r="F28" i="4"/>
  <c r="M128" i="11"/>
  <c r="Q23" i="11"/>
  <c r="L91" i="7"/>
  <c r="K21" i="2"/>
  <c r="L73" i="3"/>
  <c r="J121" i="6"/>
  <c r="I10" i="2"/>
  <c r="J63" i="3"/>
  <c r="J91" i="7"/>
  <c r="J73" i="3"/>
  <c r="I21" i="2"/>
  <c r="L89" i="7"/>
  <c r="L71" i="3"/>
  <c r="L8" i="7"/>
  <c r="K19" i="2"/>
  <c r="I121" i="6"/>
  <c r="I63" i="3"/>
  <c r="H10" i="2"/>
  <c r="F123" i="6"/>
  <c r="F65" i="3"/>
  <c r="I126" i="6"/>
  <c r="I9" i="6"/>
  <c r="H111" i="8"/>
  <c r="G29" i="2"/>
  <c r="O29" i="2" s="1"/>
  <c r="H78" i="3"/>
  <c r="G23" i="22"/>
  <c r="G24" i="21"/>
  <c r="H146" i="11"/>
  <c r="H125" i="11"/>
  <c r="P9" i="11"/>
  <c r="G11" i="4"/>
  <c r="M82" i="18"/>
  <c r="T83" i="18"/>
  <c r="S80" i="18"/>
  <c r="M69" i="14"/>
  <c r="Q70" i="14"/>
  <c r="M24" i="14"/>
  <c r="K8" i="16"/>
  <c r="K49" i="16" s="1"/>
  <c r="K81" i="11"/>
  <c r="K121" i="11"/>
  <c r="K120" i="11"/>
  <c r="J17" i="4"/>
  <c r="M100" i="12"/>
  <c r="P54" i="11"/>
  <c r="H142" i="11"/>
  <c r="P65" i="11"/>
  <c r="M65" i="11"/>
  <c r="H52" i="11"/>
  <c r="G25" i="21"/>
  <c r="G24" i="22"/>
  <c r="K125" i="11"/>
  <c r="K8" i="11"/>
  <c r="J11" i="4"/>
  <c r="L144" i="8"/>
  <c r="L79" i="3"/>
  <c r="K28" i="4"/>
  <c r="K141" i="8"/>
  <c r="K98" i="8"/>
  <c r="K140" i="8" s="1"/>
  <c r="J34" i="4"/>
  <c r="D75" i="19"/>
  <c r="Q14" i="7"/>
  <c r="M68" i="3"/>
  <c r="L15" i="2"/>
  <c r="P15" i="2" s="1"/>
  <c r="K89" i="7"/>
  <c r="K71" i="3"/>
  <c r="J19" i="2"/>
  <c r="H134" i="6"/>
  <c r="P59" i="6"/>
  <c r="L64" i="3"/>
  <c r="L122" i="6"/>
  <c r="K11" i="2"/>
  <c r="F9" i="6"/>
  <c r="V84" i="18"/>
  <c r="Q11" i="15"/>
  <c r="M53" i="15"/>
  <c r="M90" i="13"/>
  <c r="I24" i="21"/>
  <c r="I23" i="22"/>
  <c r="I27" i="16"/>
  <c r="I54" i="16" s="1"/>
  <c r="I123" i="11"/>
  <c r="I122" i="11"/>
  <c r="H23" i="4"/>
  <c r="F125" i="11"/>
  <c r="F8" i="11"/>
  <c r="E11" i="4"/>
  <c r="P78" i="14"/>
  <c r="H103" i="14"/>
  <c r="L10" i="16"/>
  <c r="L9" i="16"/>
  <c r="L166" i="11"/>
  <c r="L136" i="11"/>
  <c r="C18" i="20"/>
  <c r="G103" i="8"/>
  <c r="G15" i="21" s="1"/>
  <c r="F28" i="15"/>
  <c r="F55" i="15" s="1"/>
  <c r="F130" i="8"/>
  <c r="F84" i="3"/>
  <c r="E37" i="2"/>
  <c r="L55" i="15"/>
  <c r="M61" i="8"/>
  <c r="Q69" i="8"/>
  <c r="E8" i="15"/>
  <c r="E105" i="8"/>
  <c r="E95" i="8"/>
  <c r="E106" i="8"/>
  <c r="E80" i="3"/>
  <c r="D15" i="4"/>
  <c r="D33" i="2"/>
  <c r="D60" i="2" s="1"/>
  <c r="Q12" i="7"/>
  <c r="M11" i="7"/>
  <c r="G28" i="15"/>
  <c r="G54" i="15" s="1"/>
  <c r="G29" i="15"/>
  <c r="G130" i="8"/>
  <c r="F37" i="2"/>
  <c r="F61" i="2" s="1"/>
  <c r="G84" i="3"/>
  <c r="H126" i="8"/>
  <c r="P34" i="8"/>
  <c r="M34" i="8"/>
  <c r="H25" i="8"/>
  <c r="J89" i="7"/>
  <c r="I19" i="2"/>
  <c r="J71" i="3"/>
  <c r="D41" i="20"/>
  <c r="M134" i="6"/>
  <c r="Q50" i="6"/>
  <c r="M48" i="6"/>
  <c r="M124" i="6"/>
  <c r="M34" i="6"/>
  <c r="H130" i="6"/>
  <c r="P43" i="6"/>
  <c r="H42" i="6"/>
  <c r="M80" i="18"/>
  <c r="T81" i="18"/>
  <c r="M77" i="18"/>
  <c r="T78" i="18"/>
  <c r="T32" i="18"/>
  <c r="M31" i="18"/>
  <c r="S33" i="18"/>
  <c r="T27" i="18"/>
  <c r="M26" i="18"/>
  <c r="M78" i="14"/>
  <c r="M94" i="14"/>
  <c r="Q9" i="14"/>
  <c r="K27" i="16"/>
  <c r="K54" i="16" s="1"/>
  <c r="K122" i="11"/>
  <c r="K123" i="11"/>
  <c r="J23" i="4"/>
  <c r="I125" i="11"/>
  <c r="I8" i="11"/>
  <c r="H11" i="4"/>
  <c r="I149" i="11"/>
  <c r="H30" i="4"/>
  <c r="M108" i="12"/>
  <c r="L149" i="11"/>
  <c r="K30" i="4"/>
  <c r="G10" i="15"/>
  <c r="G9" i="15"/>
  <c r="G120" i="8"/>
  <c r="F34" i="2"/>
  <c r="F60" i="2" s="1"/>
  <c r="J88" i="14"/>
  <c r="J92" i="14"/>
  <c r="J27" i="15"/>
  <c r="J54" i="15" s="1"/>
  <c r="J108" i="8"/>
  <c r="J107" i="8"/>
  <c r="I21" i="4"/>
  <c r="I36" i="2"/>
  <c r="I61" i="2" s="1"/>
  <c r="J83" i="3"/>
  <c r="P61" i="8"/>
  <c r="H128" i="8"/>
  <c r="Q46" i="7"/>
  <c r="M45" i="7"/>
  <c r="F86" i="7"/>
  <c r="F8" i="7"/>
  <c r="E14" i="2"/>
  <c r="F67" i="3"/>
  <c r="E27" i="15"/>
  <c r="E54" i="15" s="1"/>
  <c r="E107" i="8"/>
  <c r="E108" i="8"/>
  <c r="D21" i="4"/>
  <c r="D49" i="4" s="1"/>
  <c r="D36" i="2"/>
  <c r="D61" i="2" s="1"/>
  <c r="E83" i="3"/>
  <c r="F8" i="15"/>
  <c r="F49" i="15" s="1"/>
  <c r="F106" i="8"/>
  <c r="F105" i="8"/>
  <c r="F95" i="8"/>
  <c r="F80" i="3"/>
  <c r="E15" i="4"/>
  <c r="E33" i="2"/>
  <c r="E60" i="2" s="1"/>
  <c r="J86" i="7"/>
  <c r="J8" i="7"/>
  <c r="J111" i="14" s="1"/>
  <c r="I14" i="2"/>
  <c r="J67" i="3"/>
  <c r="K121" i="6"/>
  <c r="J10" i="2"/>
  <c r="K63" i="3"/>
  <c r="H129" i="6"/>
  <c r="P34" i="6"/>
  <c r="M15" i="6"/>
  <c r="Q18" i="6"/>
  <c r="P9" i="7"/>
  <c r="E10" i="2"/>
  <c r="F121" i="6"/>
  <c r="F63" i="3"/>
  <c r="M27" i="18"/>
  <c r="T28" i="18"/>
  <c r="X27" i="18"/>
  <c r="R33" i="18"/>
  <c r="P24" i="14"/>
  <c r="H96" i="14"/>
  <c r="M31" i="14"/>
  <c r="Q32" i="14"/>
  <c r="H102" i="14"/>
  <c r="P69" i="14"/>
  <c r="I88" i="14"/>
  <c r="I92" i="14"/>
  <c r="L28" i="16"/>
  <c r="L29" i="16"/>
  <c r="L57" i="16" s="1"/>
  <c r="L146" i="11"/>
  <c r="M30" i="11"/>
  <c r="Q48" i="11"/>
  <c r="M26" i="11"/>
  <c r="Q35" i="11"/>
  <c r="E27" i="16"/>
  <c r="E54" i="16" s="1"/>
  <c r="E123" i="11"/>
  <c r="E122" i="11"/>
  <c r="D23" i="4"/>
  <c r="K24" i="21"/>
  <c r="K23" i="22"/>
  <c r="M92" i="12"/>
  <c r="Q33" i="11"/>
  <c r="M24" i="11"/>
  <c r="M17" i="11"/>
  <c r="Q18" i="11"/>
  <c r="K27" i="15"/>
  <c r="K54" i="15" s="1"/>
  <c r="K108" i="8"/>
  <c r="K107" i="8"/>
  <c r="J21" i="4"/>
  <c r="J49" i="4" s="1"/>
  <c r="J36" i="2"/>
  <c r="J61" i="2" s="1"/>
  <c r="K83" i="3"/>
  <c r="P50" i="11"/>
  <c r="H138" i="11"/>
  <c r="L10" i="15"/>
  <c r="L9" i="15"/>
  <c r="L49" i="15" s="1"/>
  <c r="L120" i="8"/>
  <c r="L105" i="8"/>
  <c r="K34" i="2"/>
  <c r="K60" i="2" s="1"/>
  <c r="M10" i="11"/>
  <c r="Q19" i="8"/>
  <c r="M17" i="8"/>
  <c r="D48" i="20"/>
  <c r="M104" i="7"/>
  <c r="Q33" i="7"/>
  <c r="M31" i="7"/>
  <c r="M135" i="8"/>
  <c r="Q89" i="8"/>
  <c r="P66" i="8"/>
  <c r="H53" i="8"/>
  <c r="M66" i="8"/>
  <c r="H124" i="8"/>
  <c r="P52" i="8"/>
  <c r="K8" i="15"/>
  <c r="K49" i="15" s="1"/>
  <c r="K106" i="8"/>
  <c r="K95" i="8"/>
  <c r="K105" i="8"/>
  <c r="K80" i="3"/>
  <c r="J15" i="4"/>
  <c r="J48" i="4" s="1"/>
  <c r="J33" i="2"/>
  <c r="J60" i="2" s="1"/>
  <c r="G84" i="7"/>
  <c r="F10" i="5"/>
  <c r="F39" i="5" s="1"/>
  <c r="G66" i="3"/>
  <c r="F13" i="2"/>
  <c r="N141" i="8"/>
  <c r="N98" i="8"/>
  <c r="N140" i="8" s="1"/>
  <c r="M34" i="4"/>
  <c r="J8" i="15"/>
  <c r="J49" i="15" s="1"/>
  <c r="J106" i="8"/>
  <c r="J105" i="8"/>
  <c r="J95" i="8"/>
  <c r="J8" i="8"/>
  <c r="J103" i="8" s="1"/>
  <c r="I33" i="2"/>
  <c r="I60" i="2" s="1"/>
  <c r="J80" i="3"/>
  <c r="I15" i="4"/>
  <c r="I48" i="4" s="1"/>
  <c r="Q53" i="7"/>
  <c r="K8" i="7"/>
  <c r="K111" i="14" s="1"/>
  <c r="K86" i="7"/>
  <c r="J14" i="2"/>
  <c r="K67" i="3"/>
  <c r="M30" i="8"/>
  <c r="F41" i="4"/>
  <c r="G14" i="22" s="1"/>
  <c r="T31" i="18"/>
  <c r="M30" i="18"/>
  <c r="R29" i="18"/>
  <c r="P48" i="14"/>
  <c r="H99" i="14"/>
  <c r="Q42" i="14"/>
  <c r="M41" i="14"/>
  <c r="K88" i="14"/>
  <c r="K92" i="14"/>
  <c r="H98" i="14"/>
  <c r="P41" i="14"/>
  <c r="G88" i="14"/>
  <c r="G111" i="14"/>
  <c r="G92" i="14"/>
  <c r="L122" i="11"/>
  <c r="H25" i="11"/>
  <c r="M34" i="11"/>
  <c r="P34" i="11"/>
  <c r="P22" i="16"/>
  <c r="H51" i="16"/>
  <c r="E125" i="11"/>
  <c r="E8" i="11"/>
  <c r="D11" i="4"/>
  <c r="E30" i="4"/>
  <c r="M114" i="12"/>
  <c r="M113" i="12"/>
  <c r="M112" i="12"/>
  <c r="M111" i="12"/>
  <c r="Q74" i="12"/>
  <c r="M95" i="12"/>
  <c r="H127" i="11"/>
  <c r="P17" i="11"/>
  <c r="J125" i="11"/>
  <c r="J8" i="11"/>
  <c r="I11" i="4"/>
  <c r="C30" i="20"/>
  <c r="G49" i="15"/>
  <c r="H41" i="16"/>
  <c r="P71" i="11"/>
  <c r="H147" i="11"/>
  <c r="P37" i="8"/>
  <c r="M37" i="8"/>
  <c r="H28" i="8"/>
  <c r="Q29" i="7"/>
  <c r="M28" i="7"/>
  <c r="M52" i="8"/>
  <c r="Q65" i="8"/>
  <c r="M84" i="6"/>
  <c r="Q85" i="6"/>
  <c r="M10" i="8"/>
  <c r="Q11" i="8"/>
  <c r="P70" i="8"/>
  <c r="M70" i="8"/>
  <c r="H62" i="8"/>
  <c r="K123" i="6"/>
  <c r="K141" i="6"/>
  <c r="K65" i="3"/>
  <c r="J12" i="2"/>
  <c r="D62" i="19"/>
  <c r="M139" i="6"/>
  <c r="M63" i="6"/>
  <c r="Q64" i="6"/>
  <c r="H125" i="6"/>
  <c r="P15" i="6"/>
  <c r="T79" i="18"/>
  <c r="M78" i="18"/>
  <c r="T30" i="18"/>
  <c r="M29" i="18"/>
  <c r="R84" i="18"/>
  <c r="M58" i="15"/>
  <c r="Q30" i="15"/>
  <c r="M106" i="12"/>
  <c r="M105" i="12"/>
  <c r="M104" i="12"/>
  <c r="Q52" i="12"/>
  <c r="M103" i="12"/>
  <c r="H97" i="14"/>
  <c r="P31" i="14"/>
  <c r="M48" i="14"/>
  <c r="P70" i="11"/>
  <c r="H62" i="11"/>
  <c r="M70" i="11"/>
  <c r="G57" i="16"/>
  <c r="H29" i="16"/>
  <c r="E24" i="21"/>
  <c r="E23" i="22"/>
  <c r="M96" i="12"/>
  <c r="L49" i="16"/>
  <c r="P36" i="11"/>
  <c r="M36" i="11"/>
  <c r="H27" i="11"/>
  <c r="H31" i="11"/>
  <c r="M71" i="11"/>
  <c r="M50" i="11"/>
  <c r="Q72" i="11"/>
  <c r="J141" i="8"/>
  <c r="J98" i="8"/>
  <c r="J140" i="8" s="1"/>
  <c r="I34" i="4"/>
  <c r="D30" i="20"/>
  <c r="Q37" i="11"/>
  <c r="M28" i="11"/>
  <c r="Q42" i="8"/>
  <c r="M40" i="8"/>
  <c r="Q15" i="8"/>
  <c r="M76" i="3"/>
  <c r="L27" i="2"/>
  <c r="P27" i="2" s="1"/>
  <c r="P38" i="8"/>
  <c r="M38" i="8"/>
  <c r="H29" i="8"/>
  <c r="H122" i="8"/>
  <c r="P50" i="8"/>
  <c r="I62" i="6"/>
  <c r="I135" i="6"/>
  <c r="D18" i="19"/>
  <c r="Q55" i="6"/>
  <c r="P53" i="6"/>
  <c r="H52" i="6"/>
  <c r="H132" i="6"/>
  <c r="M53" i="6"/>
  <c r="O27" i="4"/>
  <c r="M28" i="18"/>
  <c r="T29" i="18"/>
  <c r="M86" i="18"/>
  <c r="T80" i="18"/>
  <c r="U29" i="18"/>
  <c r="M62" i="14"/>
  <c r="Q64" i="14"/>
  <c r="Q27" i="13"/>
  <c r="AD34" i="1"/>
  <c r="M18" i="14"/>
  <c r="Q19" i="12"/>
  <c r="AD33" i="1"/>
  <c r="M86" i="13"/>
  <c r="M148" i="11"/>
  <c r="L54" i="16"/>
  <c r="M40" i="11"/>
  <c r="Q42" i="11"/>
  <c r="F49" i="16"/>
  <c r="M97" i="12"/>
  <c r="M93" i="12"/>
  <c r="G22" i="21"/>
  <c r="G21" i="22"/>
  <c r="H129" i="11"/>
  <c r="P24" i="11"/>
  <c r="E81" i="11"/>
  <c r="Q54" i="11"/>
  <c r="H133" i="11"/>
  <c r="P28" i="11"/>
  <c r="P33" i="8"/>
  <c r="M33" i="8"/>
  <c r="H31" i="8"/>
  <c r="H24" i="8"/>
  <c r="H82" i="3"/>
  <c r="Q22" i="7"/>
  <c r="M20" i="7"/>
  <c r="M71" i="8"/>
  <c r="Q72" i="8"/>
  <c r="M50" i="8"/>
  <c r="E123" i="6"/>
  <c r="E141" i="6"/>
  <c r="D12" i="2"/>
  <c r="E65" i="3"/>
  <c r="I8" i="15"/>
  <c r="I49" i="15" s="1"/>
  <c r="I105" i="8"/>
  <c r="I106" i="8"/>
  <c r="I95" i="8"/>
  <c r="H15" i="4"/>
  <c r="H33" i="2"/>
  <c r="H60" i="2" s="1"/>
  <c r="I80" i="3"/>
  <c r="H138" i="6"/>
  <c r="P84" i="6"/>
  <c r="J122" i="6"/>
  <c r="I11" i="2"/>
  <c r="J64" i="3"/>
  <c r="M137" i="6"/>
  <c r="Q79" i="6"/>
  <c r="J120" i="6"/>
  <c r="J62" i="3"/>
  <c r="I9" i="2"/>
  <c r="J8" i="6"/>
  <c r="M98" i="13"/>
  <c r="M55" i="14"/>
  <c r="Q56" i="14"/>
  <c r="H8" i="14"/>
  <c r="M82" i="13"/>
  <c r="P18" i="14"/>
  <c r="H95" i="14"/>
  <c r="H134" i="11"/>
  <c r="P66" i="11"/>
  <c r="H53" i="11"/>
  <c r="M66" i="11"/>
  <c r="J8" i="16"/>
  <c r="J49" i="16" s="1"/>
  <c r="J81" i="11"/>
  <c r="J121" i="11"/>
  <c r="J120" i="11"/>
  <c r="I17" i="4"/>
  <c r="P69" i="11"/>
  <c r="M69" i="11"/>
  <c r="H61" i="11"/>
  <c r="G10" i="16"/>
  <c r="G9" i="16"/>
  <c r="G166" i="11"/>
  <c r="G136" i="11"/>
  <c r="M98" i="12"/>
  <c r="M94" i="12"/>
  <c r="Q67" i="8"/>
  <c r="K136" i="8"/>
  <c r="K104" i="8"/>
  <c r="K8" i="8"/>
  <c r="K103" i="8" s="1"/>
  <c r="J15" i="21" s="1"/>
  <c r="J9" i="4"/>
  <c r="J47" i="4" s="1"/>
  <c r="J25" i="2"/>
  <c r="K74" i="3"/>
  <c r="I27" i="15"/>
  <c r="I54" i="15" s="1"/>
  <c r="I107" i="8"/>
  <c r="I108" i="8"/>
  <c r="H21" i="4"/>
  <c r="H49" i="4" s="1"/>
  <c r="H36" i="2"/>
  <c r="I83" i="3"/>
  <c r="Q35" i="8"/>
  <c r="M26" i="8"/>
  <c r="F27" i="15"/>
  <c r="F108" i="8"/>
  <c r="F107" i="8"/>
  <c r="E36" i="2"/>
  <c r="F83" i="3"/>
  <c r="E21" i="4"/>
  <c r="Q18" i="7"/>
  <c r="M16" i="7"/>
  <c r="E141" i="8"/>
  <c r="E98" i="8"/>
  <c r="E140" i="8" s="1"/>
  <c r="D34" i="4"/>
  <c r="H22" i="15"/>
  <c r="P40" i="8"/>
  <c r="H121" i="8"/>
  <c r="G35" i="2"/>
  <c r="O35" i="2" s="1"/>
  <c r="E136" i="8"/>
  <c r="E104" i="8"/>
  <c r="E8" i="8"/>
  <c r="D9" i="4"/>
  <c r="D47" i="4" s="1"/>
  <c r="D25" i="2"/>
  <c r="E74" i="3"/>
  <c r="I89" i="7"/>
  <c r="I8" i="7"/>
  <c r="I111" i="14" s="1"/>
  <c r="H19" i="2"/>
  <c r="I71" i="3"/>
  <c r="P73" i="6"/>
  <c r="H136" i="6"/>
  <c r="I122" i="6"/>
  <c r="H11" i="2"/>
  <c r="I64" i="3"/>
  <c r="G135" i="6"/>
  <c r="G62" i="6"/>
  <c r="Q44" i="6"/>
  <c r="M43" i="6"/>
  <c r="M26" i="2" l="1"/>
  <c r="N9" i="8"/>
  <c r="N88" i="7"/>
  <c r="N70" i="3"/>
  <c r="M18" i="2"/>
  <c r="N96" i="7"/>
  <c r="N38" i="7"/>
  <c r="P26" i="11"/>
  <c r="H131" i="11"/>
  <c r="N28" i="16"/>
  <c r="N55" i="16" s="1"/>
  <c r="N146" i="11"/>
  <c r="N133" i="6"/>
  <c r="N52" i="6"/>
  <c r="N126" i="11"/>
  <c r="N9" i="11"/>
  <c r="N22" i="16"/>
  <c r="N51" i="16" s="1"/>
  <c r="N137" i="11"/>
  <c r="N9" i="16"/>
  <c r="N50" i="16" s="1"/>
  <c r="N136" i="11"/>
  <c r="N131" i="6"/>
  <c r="N42" i="6"/>
  <c r="N90" i="7"/>
  <c r="N72" i="3"/>
  <c r="M20" i="2"/>
  <c r="N139" i="11"/>
  <c r="N49" i="11"/>
  <c r="N128" i="6"/>
  <c r="N21" i="6"/>
  <c r="N89" i="7"/>
  <c r="N71" i="3"/>
  <c r="M19" i="2"/>
  <c r="N128" i="11"/>
  <c r="N22" i="11"/>
  <c r="N41" i="16"/>
  <c r="N56" i="16" s="1"/>
  <c r="N147" i="11"/>
  <c r="N148" i="11"/>
  <c r="N143" i="11"/>
  <c r="N49" i="8"/>
  <c r="D24" i="21"/>
  <c r="N22" i="15"/>
  <c r="N51" i="15" s="1"/>
  <c r="M35" i="2"/>
  <c r="N121" i="8"/>
  <c r="N22" i="8"/>
  <c r="N114" i="8"/>
  <c r="N9" i="15"/>
  <c r="N50" i="15" s="1"/>
  <c r="M34" i="2"/>
  <c r="N120" i="8"/>
  <c r="N136" i="8"/>
  <c r="N8" i="8"/>
  <c r="N103" i="8" s="1"/>
  <c r="N74" i="3"/>
  <c r="N104" i="8"/>
  <c r="M25" i="2"/>
  <c r="M9" i="4"/>
  <c r="N78" i="3"/>
  <c r="M29" i="2"/>
  <c r="N111" i="8"/>
  <c r="N110" i="8"/>
  <c r="Q59" i="6"/>
  <c r="N62" i="6"/>
  <c r="N135" i="6"/>
  <c r="L141" i="6"/>
  <c r="K22" i="21"/>
  <c r="H71" i="3"/>
  <c r="L50" i="16"/>
  <c r="M143" i="11"/>
  <c r="P63" i="11"/>
  <c r="F31" i="4"/>
  <c r="F44" i="4" s="1"/>
  <c r="G17" i="22" s="1"/>
  <c r="H135" i="11"/>
  <c r="P30" i="11"/>
  <c r="E24" i="22"/>
  <c r="Q29" i="11"/>
  <c r="H8" i="7"/>
  <c r="G10" i="5" s="1"/>
  <c r="G39" i="5" s="1"/>
  <c r="G19" i="2"/>
  <c r="O19" i="2" s="1"/>
  <c r="H89" i="7"/>
  <c r="M21" i="6"/>
  <c r="H74" i="3"/>
  <c r="P9" i="8"/>
  <c r="H104" i="8"/>
  <c r="G25" i="2"/>
  <c r="O25" i="2" s="1"/>
  <c r="N16" i="21" s="1"/>
  <c r="G9" i="4"/>
  <c r="G47" i="4" s="1"/>
  <c r="P41" i="15"/>
  <c r="N41" i="21" s="1"/>
  <c r="E61" i="2"/>
  <c r="H84" i="3"/>
  <c r="G37" i="2"/>
  <c r="O37" i="2" s="1"/>
  <c r="H130" i="8"/>
  <c r="H28" i="15"/>
  <c r="P28" i="15" s="1"/>
  <c r="N40" i="21" s="1"/>
  <c r="H61" i="2"/>
  <c r="H49" i="8"/>
  <c r="H27" i="15" s="1"/>
  <c r="I59" i="2"/>
  <c r="I42" i="2"/>
  <c r="E42" i="2"/>
  <c r="E59" i="2"/>
  <c r="H139" i="8"/>
  <c r="H132" i="8"/>
  <c r="H127" i="8"/>
  <c r="P55" i="8"/>
  <c r="H96" i="8"/>
  <c r="P96" i="8" s="1"/>
  <c r="H42" i="2"/>
  <c r="H59" i="2"/>
  <c r="O14" i="2"/>
  <c r="M55" i="8"/>
  <c r="Q68" i="8"/>
  <c r="M127" i="6"/>
  <c r="H135" i="6"/>
  <c r="H62" i="6"/>
  <c r="P62" i="6" s="1"/>
  <c r="H84" i="7"/>
  <c r="H73" i="3"/>
  <c r="E84" i="7"/>
  <c r="P38" i="7"/>
  <c r="G21" i="2"/>
  <c r="D35" i="21"/>
  <c r="E66" i="3"/>
  <c r="D13" i="2"/>
  <c r="D30" i="2" s="1"/>
  <c r="D10" i="5"/>
  <c r="D39" i="5" s="1"/>
  <c r="Q30" i="6"/>
  <c r="E8" i="6"/>
  <c r="D9" i="5" s="1"/>
  <c r="D9" i="2"/>
  <c r="E62" i="3"/>
  <c r="K9" i="2"/>
  <c r="J9" i="2"/>
  <c r="P21" i="6"/>
  <c r="H126" i="6"/>
  <c r="L120" i="6"/>
  <c r="Q22" i="6"/>
  <c r="M9" i="6"/>
  <c r="Q9" i="6" s="1"/>
  <c r="K8" i="6"/>
  <c r="K118" i="6" s="1"/>
  <c r="K62" i="3"/>
  <c r="G62" i="3"/>
  <c r="G8" i="6"/>
  <c r="C127" i="20" s="1"/>
  <c r="G120" i="6"/>
  <c r="L55" i="16"/>
  <c r="I120" i="6"/>
  <c r="H9" i="2"/>
  <c r="I62" i="3"/>
  <c r="L84" i="7"/>
  <c r="K10" i="5"/>
  <c r="K39" i="5" s="1"/>
  <c r="L66" i="3"/>
  <c r="K13" i="2"/>
  <c r="L111" i="14"/>
  <c r="O21" i="2"/>
  <c r="M51" i="11"/>
  <c r="Q64" i="11"/>
  <c r="P27" i="8"/>
  <c r="H116" i="8"/>
  <c r="K12" i="2"/>
  <c r="F54" i="15"/>
  <c r="L8" i="6"/>
  <c r="L118" i="6" s="1"/>
  <c r="Q56" i="6"/>
  <c r="H139" i="11"/>
  <c r="P51" i="11"/>
  <c r="M93" i="7"/>
  <c r="Q25" i="7"/>
  <c r="Q36" i="8"/>
  <c r="M27" i="8"/>
  <c r="P20" i="2"/>
  <c r="O20" i="2"/>
  <c r="L123" i="6"/>
  <c r="G50" i="16"/>
  <c r="C73" i="20"/>
  <c r="F56" i="4"/>
  <c r="N24" i="22"/>
  <c r="N25" i="21"/>
  <c r="I35" i="21"/>
  <c r="I34" i="22"/>
  <c r="M115" i="8"/>
  <c r="Q26" i="8"/>
  <c r="J149" i="11"/>
  <c r="I30" i="4"/>
  <c r="D59" i="4"/>
  <c r="D37" i="4"/>
  <c r="D45" i="4" s="1"/>
  <c r="D18" i="22" s="1"/>
  <c r="G71" i="16"/>
  <c r="G52" i="16"/>
  <c r="H10" i="16"/>
  <c r="M101" i="14"/>
  <c r="Q62" i="14"/>
  <c r="H9" i="16"/>
  <c r="H136" i="11"/>
  <c r="P31" i="11"/>
  <c r="E119" i="11"/>
  <c r="D24" i="5"/>
  <c r="D46" i="20"/>
  <c r="Q31" i="7"/>
  <c r="M95" i="7"/>
  <c r="M129" i="11"/>
  <c r="Q24" i="11"/>
  <c r="F84" i="7"/>
  <c r="E10" i="5"/>
  <c r="E39" i="5" s="1"/>
  <c r="F66" i="3"/>
  <c r="E13" i="2"/>
  <c r="F111" i="14"/>
  <c r="J52" i="4"/>
  <c r="J24" i="4"/>
  <c r="J43" i="4" s="1"/>
  <c r="J16" i="22" s="1"/>
  <c r="H24" i="4"/>
  <c r="H43" i="4" s="1"/>
  <c r="I16" i="22" s="1"/>
  <c r="H52" i="4"/>
  <c r="H140" i="11"/>
  <c r="P52" i="11"/>
  <c r="O11" i="4"/>
  <c r="N15" i="22" s="1"/>
  <c r="G50" i="4"/>
  <c r="P22" i="15"/>
  <c r="H51" i="15"/>
  <c r="J61" i="3"/>
  <c r="J118" i="6"/>
  <c r="I9" i="5"/>
  <c r="I8" i="2"/>
  <c r="E103" i="8"/>
  <c r="M126" i="8"/>
  <c r="Q54" i="8"/>
  <c r="H144" i="11"/>
  <c r="P61" i="11"/>
  <c r="M53" i="11"/>
  <c r="Q66" i="11"/>
  <c r="M102" i="7"/>
  <c r="Q20" i="7"/>
  <c r="M88" i="7"/>
  <c r="L18" i="2"/>
  <c r="P18" i="2" s="1"/>
  <c r="M70" i="3"/>
  <c r="I141" i="6"/>
  <c r="I123" i="6"/>
  <c r="I65" i="3"/>
  <c r="H12" i="2"/>
  <c r="H132" i="11"/>
  <c r="P27" i="11"/>
  <c r="Q48" i="14"/>
  <c r="M99" i="14"/>
  <c r="M124" i="8"/>
  <c r="Q52" i="8"/>
  <c r="D23" i="21"/>
  <c r="D22" i="22"/>
  <c r="Q48" i="7"/>
  <c r="M98" i="7"/>
  <c r="H99" i="8"/>
  <c r="M97" i="14"/>
  <c r="Q31" i="14"/>
  <c r="J84" i="7"/>
  <c r="I10" i="5"/>
  <c r="I39" i="5" s="1"/>
  <c r="J66" i="3"/>
  <c r="I13" i="2"/>
  <c r="H121" i="6"/>
  <c r="H63" i="3"/>
  <c r="P42" i="6"/>
  <c r="G10" i="2"/>
  <c r="O10" i="2" s="1"/>
  <c r="D48" i="4"/>
  <c r="D18" i="4"/>
  <c r="D42" i="4" s="1"/>
  <c r="D15" i="22" s="1"/>
  <c r="M42" i="2"/>
  <c r="L52" i="16"/>
  <c r="L71" i="16"/>
  <c r="I25" i="21"/>
  <c r="I24" i="22"/>
  <c r="J50" i="4"/>
  <c r="J12" i="4"/>
  <c r="J41" i="4" s="1"/>
  <c r="J14" i="22" s="1"/>
  <c r="Q65" i="11"/>
  <c r="M52" i="11"/>
  <c r="M63" i="11"/>
  <c r="K149" i="11"/>
  <c r="J30" i="4"/>
  <c r="D102" i="19"/>
  <c r="D86" i="19"/>
  <c r="Q16" i="7"/>
  <c r="M87" i="7"/>
  <c r="L17" i="2"/>
  <c r="P17" i="2" s="1"/>
  <c r="M69" i="3"/>
  <c r="M109" i="14"/>
  <c r="M130" i="6"/>
  <c r="M42" i="6"/>
  <c r="Q43" i="6"/>
  <c r="Q69" i="11"/>
  <c r="M61" i="11"/>
  <c r="H141" i="11"/>
  <c r="P53" i="11"/>
  <c r="H48" i="4"/>
  <c r="H18" i="4"/>
  <c r="H42" i="4" s="1"/>
  <c r="I15" i="22" s="1"/>
  <c r="X80" i="18"/>
  <c r="T84" i="18"/>
  <c r="Q53" i="6"/>
  <c r="M132" i="6"/>
  <c r="M52" i="6"/>
  <c r="I59" i="4"/>
  <c r="I37" i="4"/>
  <c r="I45" i="4" s="1"/>
  <c r="M27" i="11"/>
  <c r="Q36" i="11"/>
  <c r="I50" i="4"/>
  <c r="I12" i="4"/>
  <c r="I41" i="4" s="1"/>
  <c r="M59" i="4"/>
  <c r="M37" i="4"/>
  <c r="M45" i="4" s="1"/>
  <c r="L50" i="15"/>
  <c r="E48" i="4"/>
  <c r="E18" i="4"/>
  <c r="E42" i="4" s="1"/>
  <c r="E15" i="22" s="1"/>
  <c r="M97" i="7"/>
  <c r="Q45" i="7"/>
  <c r="M38" i="7"/>
  <c r="J25" i="21"/>
  <c r="J24" i="22"/>
  <c r="M131" i="6"/>
  <c r="Q48" i="6"/>
  <c r="J59" i="4"/>
  <c r="J37" i="4"/>
  <c r="J45" i="4" s="1"/>
  <c r="J18" i="22" s="1"/>
  <c r="K119" i="11"/>
  <c r="J24" i="5"/>
  <c r="N23" i="21"/>
  <c r="N22" i="22"/>
  <c r="P28" i="16"/>
  <c r="H55" i="16"/>
  <c r="H92" i="14"/>
  <c r="H111" i="14"/>
  <c r="H88" i="14"/>
  <c r="P8" i="14"/>
  <c r="I144" i="8"/>
  <c r="H28" i="4"/>
  <c r="H56" i="4" s="1"/>
  <c r="I79" i="3"/>
  <c r="E149" i="11"/>
  <c r="D30" i="4"/>
  <c r="P62" i="8"/>
  <c r="H129" i="8"/>
  <c r="M110" i="8"/>
  <c r="M9" i="8"/>
  <c r="Q10" i="8"/>
  <c r="M75" i="3"/>
  <c r="L26" i="2"/>
  <c r="P26" i="2" s="1"/>
  <c r="M94" i="7"/>
  <c r="Q28" i="7"/>
  <c r="M24" i="7"/>
  <c r="J119" i="11"/>
  <c r="I24" i="5"/>
  <c r="J34" i="22"/>
  <c r="J35" i="21"/>
  <c r="Q30" i="8"/>
  <c r="M119" i="8"/>
  <c r="Q66" i="8"/>
  <c r="M53" i="8"/>
  <c r="D161" i="20"/>
  <c r="L52" i="15"/>
  <c r="L71" i="15"/>
  <c r="I49" i="4"/>
  <c r="I24" i="4"/>
  <c r="I43" i="4" s="1"/>
  <c r="H58" i="4"/>
  <c r="H114" i="8"/>
  <c r="P25" i="8"/>
  <c r="H29" i="15"/>
  <c r="G57" i="15"/>
  <c r="J22" i="22"/>
  <c r="J23" i="21"/>
  <c r="H23" i="21"/>
  <c r="H22" i="22"/>
  <c r="I8" i="6"/>
  <c r="H120" i="6"/>
  <c r="P9" i="6"/>
  <c r="H62" i="3"/>
  <c r="G9" i="2"/>
  <c r="J59" i="2"/>
  <c r="J42" i="2"/>
  <c r="I51" i="4"/>
  <c r="I18" i="4"/>
  <c r="I42" i="4" s="1"/>
  <c r="M122" i="8"/>
  <c r="Q50" i="8"/>
  <c r="P24" i="8"/>
  <c r="H113" i="8"/>
  <c r="H22" i="8"/>
  <c r="H81" i="3"/>
  <c r="G43" i="2"/>
  <c r="O43" i="2" s="1"/>
  <c r="D31" i="19"/>
  <c r="M22" i="16"/>
  <c r="M137" i="11"/>
  <c r="Q40" i="11"/>
  <c r="M95" i="14"/>
  <c r="Q18" i="14"/>
  <c r="X29" i="18"/>
  <c r="T33" i="18"/>
  <c r="H122" i="6"/>
  <c r="G11" i="2"/>
  <c r="O11" i="2" s="1"/>
  <c r="P52" i="6"/>
  <c r="H64" i="3"/>
  <c r="D24" i="19"/>
  <c r="M22" i="15"/>
  <c r="M121" i="8"/>
  <c r="Q40" i="8"/>
  <c r="L35" i="2"/>
  <c r="P35" i="2" s="1"/>
  <c r="M29" i="16"/>
  <c r="P29" i="16"/>
  <c r="H57" i="16"/>
  <c r="M135" i="6"/>
  <c r="M62" i="6"/>
  <c r="Q63" i="6"/>
  <c r="Q70" i="8"/>
  <c r="M62" i="8"/>
  <c r="P53" i="8"/>
  <c r="H125" i="8"/>
  <c r="Q17" i="8"/>
  <c r="M111" i="8"/>
  <c r="L29" i="2"/>
  <c r="P29" i="2" s="1"/>
  <c r="M78" i="3"/>
  <c r="H49" i="11"/>
  <c r="M131" i="11"/>
  <c r="Q26" i="11"/>
  <c r="F144" i="8"/>
  <c r="F79" i="3"/>
  <c r="E28" i="4"/>
  <c r="E56" i="4" s="1"/>
  <c r="M25" i="8"/>
  <c r="Q34" i="8"/>
  <c r="G55" i="15"/>
  <c r="E144" i="8"/>
  <c r="E79" i="3"/>
  <c r="D28" i="4"/>
  <c r="D56" i="4" s="1"/>
  <c r="G49" i="16"/>
  <c r="F120" i="6"/>
  <c r="F62" i="3"/>
  <c r="E9" i="2"/>
  <c r="F8" i="6"/>
  <c r="G141" i="6"/>
  <c r="G123" i="6"/>
  <c r="G65" i="3"/>
  <c r="F12" i="2"/>
  <c r="I84" i="7"/>
  <c r="H10" i="5"/>
  <c r="H39" i="5" s="1"/>
  <c r="I66" i="3"/>
  <c r="H13" i="2"/>
  <c r="E49" i="4"/>
  <c r="E24" i="4"/>
  <c r="E43" i="4" s="1"/>
  <c r="E16" i="22" s="1"/>
  <c r="Q55" i="14"/>
  <c r="M100" i="14"/>
  <c r="H9" i="15"/>
  <c r="P31" i="8"/>
  <c r="H120" i="8"/>
  <c r="G34" i="2"/>
  <c r="O34" i="2" s="1"/>
  <c r="P28" i="8"/>
  <c r="H117" i="8"/>
  <c r="E58" i="4"/>
  <c r="M25" i="11"/>
  <c r="Q34" i="11"/>
  <c r="G35" i="21"/>
  <c r="G34" i="22"/>
  <c r="M98" i="14"/>
  <c r="Q41" i="14"/>
  <c r="F30" i="2"/>
  <c r="F58" i="2"/>
  <c r="F41" i="2"/>
  <c r="K144" i="8"/>
  <c r="K79" i="3"/>
  <c r="J28" i="4"/>
  <c r="J56" i="4" s="1"/>
  <c r="D24" i="4"/>
  <c r="D43" i="4" s="1"/>
  <c r="D16" i="22" s="1"/>
  <c r="D52" i="4"/>
  <c r="M125" i="6"/>
  <c r="Q15" i="6"/>
  <c r="G50" i="15"/>
  <c r="H12" i="4"/>
  <c r="H41" i="4" s="1"/>
  <c r="I14" i="22" s="1"/>
  <c r="H50" i="4"/>
  <c r="M8" i="14"/>
  <c r="AD35" i="1" s="1"/>
  <c r="E50" i="4"/>
  <c r="E12" i="4"/>
  <c r="E41" i="4" s="1"/>
  <c r="E14" i="22" s="1"/>
  <c r="D73" i="20"/>
  <c r="K56" i="4"/>
  <c r="M96" i="14"/>
  <c r="Q24" i="14"/>
  <c r="D27" i="19"/>
  <c r="M41" i="15"/>
  <c r="M131" i="8"/>
  <c r="Q71" i="8"/>
  <c r="L38" i="2"/>
  <c r="P38" i="2" s="1"/>
  <c r="M85" i="3"/>
  <c r="M31" i="8"/>
  <c r="M24" i="8"/>
  <c r="Q33" i="8"/>
  <c r="M82" i="3"/>
  <c r="H118" i="8"/>
  <c r="P29" i="8"/>
  <c r="M133" i="11"/>
  <c r="Q28" i="11"/>
  <c r="M138" i="11"/>
  <c r="Q50" i="11"/>
  <c r="M62" i="11"/>
  <c r="Q70" i="11"/>
  <c r="M138" i="6"/>
  <c r="Q84" i="6"/>
  <c r="M28" i="8"/>
  <c r="Q37" i="8"/>
  <c r="H130" i="11"/>
  <c r="P25" i="11"/>
  <c r="H22" i="11"/>
  <c r="J144" i="8"/>
  <c r="J79" i="3"/>
  <c r="I28" i="4"/>
  <c r="I56" i="4" s="1"/>
  <c r="M126" i="11"/>
  <c r="Q10" i="11"/>
  <c r="M9" i="11"/>
  <c r="M127" i="11"/>
  <c r="Q17" i="11"/>
  <c r="D24" i="22"/>
  <c r="D25" i="21"/>
  <c r="M135" i="11"/>
  <c r="Q30" i="11"/>
  <c r="C161" i="20"/>
  <c r="G71" i="15"/>
  <c r="H10" i="15"/>
  <c r="G52" i="15"/>
  <c r="I119" i="11"/>
  <c r="H24" i="5"/>
  <c r="M129" i="6"/>
  <c r="Q34" i="6"/>
  <c r="M92" i="7"/>
  <c r="Q11" i="7"/>
  <c r="M9" i="7"/>
  <c r="E49" i="15"/>
  <c r="M128" i="8"/>
  <c r="Q61" i="8"/>
  <c r="F119" i="11"/>
  <c r="E24" i="5"/>
  <c r="J51" i="4"/>
  <c r="J18" i="4"/>
  <c r="J42" i="4" s="1"/>
  <c r="J15" i="22" s="1"/>
  <c r="D59" i="2"/>
  <c r="D42" i="2"/>
  <c r="M29" i="8"/>
  <c r="Q38" i="8"/>
  <c r="D34" i="19"/>
  <c r="M41" i="16"/>
  <c r="Q71" i="11"/>
  <c r="M147" i="11"/>
  <c r="H145" i="11"/>
  <c r="P62" i="11"/>
  <c r="H56" i="16"/>
  <c r="P41" i="16"/>
  <c r="D50" i="4"/>
  <c r="D12" i="4"/>
  <c r="D41" i="4" s="1"/>
  <c r="D14" i="22" s="1"/>
  <c r="K25" i="21"/>
  <c r="K24" i="22"/>
  <c r="K84" i="7"/>
  <c r="J10" i="5"/>
  <c r="J39" i="5" s="1"/>
  <c r="K66" i="3"/>
  <c r="J13" i="2"/>
  <c r="M31" i="11"/>
  <c r="K31" i="4"/>
  <c r="K44" i="4" s="1"/>
  <c r="K17" i="22" s="1"/>
  <c r="K58" i="4"/>
  <c r="I23" i="21"/>
  <c r="I22" i="22"/>
  <c r="M103" i="14"/>
  <c r="Q78" i="14"/>
  <c r="M47" i="4"/>
  <c r="E23" i="21"/>
  <c r="E22" i="22"/>
  <c r="J24" i="21"/>
  <c r="J23" i="22"/>
  <c r="M102" i="14"/>
  <c r="Q69" i="14"/>
  <c r="M59" i="2" l="1"/>
  <c r="M17" i="4"/>
  <c r="M51" i="4" s="1"/>
  <c r="N120" i="11"/>
  <c r="N8" i="16"/>
  <c r="N49" i="16" s="1"/>
  <c r="N81" i="11"/>
  <c r="N121" i="11"/>
  <c r="M10" i="2"/>
  <c r="N121" i="6"/>
  <c r="N63" i="3"/>
  <c r="N84" i="3"/>
  <c r="N130" i="8"/>
  <c r="M37" i="2"/>
  <c r="N28" i="15"/>
  <c r="N55" i="15" s="1"/>
  <c r="N108" i="8"/>
  <c r="M36" i="2"/>
  <c r="M61" i="2" s="1"/>
  <c r="M21" i="4"/>
  <c r="M49" i="4" s="1"/>
  <c r="N27" i="15"/>
  <c r="N54" i="15" s="1"/>
  <c r="N107" i="8"/>
  <c r="N83" i="3"/>
  <c r="N126" i="6"/>
  <c r="N9" i="6"/>
  <c r="N123" i="11"/>
  <c r="M23" i="4"/>
  <c r="N27" i="16"/>
  <c r="N54" i="16" s="1"/>
  <c r="N122" i="11"/>
  <c r="N125" i="11"/>
  <c r="M11" i="4"/>
  <c r="N8" i="11"/>
  <c r="N122" i="6"/>
  <c r="N64" i="3"/>
  <c r="M11" i="2"/>
  <c r="N8" i="7"/>
  <c r="N91" i="7"/>
  <c r="N73" i="3"/>
  <c r="M21" i="2"/>
  <c r="N106" i="8"/>
  <c r="N95" i="8"/>
  <c r="M15" i="4"/>
  <c r="N8" i="15"/>
  <c r="N49" i="15" s="1"/>
  <c r="N105" i="8"/>
  <c r="N80" i="3"/>
  <c r="M33" i="2"/>
  <c r="M60" i="2" s="1"/>
  <c r="N141" i="6"/>
  <c r="N123" i="6"/>
  <c r="M12" i="2"/>
  <c r="N65" i="3"/>
  <c r="P8" i="7"/>
  <c r="G13" i="2"/>
  <c r="G30" i="2" s="1"/>
  <c r="H112" i="14" s="1"/>
  <c r="H66" i="3"/>
  <c r="H123" i="6"/>
  <c r="G42" i="2"/>
  <c r="O42" i="2" s="1"/>
  <c r="G59" i="2"/>
  <c r="O9" i="4"/>
  <c r="G12" i="4"/>
  <c r="G41" i="4" s="1"/>
  <c r="H14" i="22" s="1"/>
  <c r="H55" i="15"/>
  <c r="G21" i="4"/>
  <c r="G49" i="4" s="1"/>
  <c r="P49" i="8"/>
  <c r="H108" i="8"/>
  <c r="G36" i="2"/>
  <c r="O36" i="2" s="1"/>
  <c r="N18" i="21" s="1"/>
  <c r="H107" i="8"/>
  <c r="H83" i="3"/>
  <c r="H138" i="8"/>
  <c r="E118" i="6"/>
  <c r="M49" i="8"/>
  <c r="M108" i="8" s="1"/>
  <c r="M49" i="11"/>
  <c r="M123" i="11" s="1"/>
  <c r="M127" i="8"/>
  <c r="M96" i="8"/>
  <c r="Q96" i="8" s="1"/>
  <c r="Q55" i="8"/>
  <c r="M132" i="8"/>
  <c r="H8" i="6"/>
  <c r="H61" i="3" s="1"/>
  <c r="H141" i="6"/>
  <c r="H65" i="3"/>
  <c r="G12" i="2"/>
  <c r="O12" i="2" s="1"/>
  <c r="G41" i="2"/>
  <c r="D58" i="2"/>
  <c r="D41" i="2"/>
  <c r="D8" i="2"/>
  <c r="D57" i="2" s="1"/>
  <c r="E61" i="3"/>
  <c r="M126" i="6"/>
  <c r="Q21" i="6"/>
  <c r="K61" i="3"/>
  <c r="J8" i="2"/>
  <c r="J22" i="2" s="1"/>
  <c r="J49" i="2" s="1"/>
  <c r="J9" i="5"/>
  <c r="J38" i="5" s="1"/>
  <c r="F9" i="5"/>
  <c r="F11" i="5" s="1"/>
  <c r="K9" i="5"/>
  <c r="K11" i="5" s="1"/>
  <c r="L61" i="3"/>
  <c r="D127" i="20"/>
  <c r="K8" i="2"/>
  <c r="K23" i="2" s="1"/>
  <c r="G61" i="3"/>
  <c r="G118" i="6"/>
  <c r="F8" i="2"/>
  <c r="F22" i="2" s="1"/>
  <c r="L9" i="2"/>
  <c r="P9" i="2" s="1"/>
  <c r="M120" i="6"/>
  <c r="O25" i="21"/>
  <c r="O24" i="22"/>
  <c r="O10" i="5"/>
  <c r="M62" i="3"/>
  <c r="M139" i="11"/>
  <c r="Q51" i="11"/>
  <c r="K41" i="2"/>
  <c r="K30" i="2"/>
  <c r="L112" i="14" s="1"/>
  <c r="K58" i="2"/>
  <c r="M139" i="8"/>
  <c r="M99" i="8"/>
  <c r="Q99" i="8" s="1"/>
  <c r="M116" i="8"/>
  <c r="Q27" i="8"/>
  <c r="K34" i="22"/>
  <c r="K35" i="21"/>
  <c r="M28" i="15"/>
  <c r="M130" i="8"/>
  <c r="Q63" i="8"/>
  <c r="M84" i="3"/>
  <c r="L37" i="2"/>
  <c r="P37" i="2" s="1"/>
  <c r="H8" i="16"/>
  <c r="H121" i="11"/>
  <c r="H120" i="11"/>
  <c r="H81" i="11"/>
  <c r="P22" i="11"/>
  <c r="G17" i="4"/>
  <c r="H8" i="11"/>
  <c r="Q41" i="15"/>
  <c r="O41" i="21" s="1"/>
  <c r="M56" i="15"/>
  <c r="H50" i="15"/>
  <c r="P9" i="15"/>
  <c r="M123" i="6"/>
  <c r="Q62" i="6"/>
  <c r="L12" i="2"/>
  <c r="M65" i="3"/>
  <c r="M141" i="6"/>
  <c r="Q22" i="15"/>
  <c r="M51" i="15"/>
  <c r="H8" i="15"/>
  <c r="H105" i="8"/>
  <c r="H106" i="8"/>
  <c r="P22" i="8"/>
  <c r="H95" i="8"/>
  <c r="G15" i="4"/>
  <c r="G33" i="2"/>
  <c r="H80" i="3"/>
  <c r="H8" i="8"/>
  <c r="H31" i="4"/>
  <c r="H44" i="4" s="1"/>
  <c r="I17" i="22" s="1"/>
  <c r="Q53" i="8"/>
  <c r="M125" i="8"/>
  <c r="Q24" i="7"/>
  <c r="M89" i="7"/>
  <c r="M71" i="3"/>
  <c r="L19" i="2"/>
  <c r="P19" i="2" s="1"/>
  <c r="J44" i="5"/>
  <c r="M132" i="11"/>
  <c r="Q27" i="11"/>
  <c r="P99" i="8"/>
  <c r="H98" i="8"/>
  <c r="H141" i="8"/>
  <c r="G34" i="4"/>
  <c r="E35" i="21"/>
  <c r="E34" i="22"/>
  <c r="H50" i="16"/>
  <c r="P9" i="16"/>
  <c r="P10" i="16"/>
  <c r="H52" i="16"/>
  <c r="M10" i="16"/>
  <c r="E21" i="22"/>
  <c r="E22" i="21"/>
  <c r="H44" i="5"/>
  <c r="H30" i="2"/>
  <c r="H58" i="2"/>
  <c r="H41" i="2"/>
  <c r="I118" i="6"/>
  <c r="I61" i="3"/>
  <c r="H9" i="5"/>
  <c r="H8" i="2"/>
  <c r="J22" i="21"/>
  <c r="J21" i="22"/>
  <c r="M91" i="7"/>
  <c r="Q38" i="7"/>
  <c r="L21" i="2"/>
  <c r="P21" i="2" s="1"/>
  <c r="M73" i="3"/>
  <c r="J31" i="4"/>
  <c r="J44" i="4" s="1"/>
  <c r="J17" i="22" s="1"/>
  <c r="J58" i="4"/>
  <c r="E41" i="2"/>
  <c r="E30" i="2"/>
  <c r="E58" i="2"/>
  <c r="H54" i="15"/>
  <c r="P27" i="15"/>
  <c r="I22" i="21"/>
  <c r="I21" i="22"/>
  <c r="M113" i="8"/>
  <c r="Q24" i="8"/>
  <c r="L43" i="2"/>
  <c r="P43" i="2" s="1"/>
  <c r="M81" i="3"/>
  <c r="M22" i="8"/>
  <c r="F118" i="6"/>
  <c r="E9" i="5"/>
  <c r="E8" i="2"/>
  <c r="F61" i="3"/>
  <c r="I30" i="2"/>
  <c r="I58" i="2"/>
  <c r="I41" i="2"/>
  <c r="M9" i="15"/>
  <c r="M120" i="8"/>
  <c r="Q31" i="8"/>
  <c r="L34" i="2"/>
  <c r="P34" i="2" s="1"/>
  <c r="M144" i="11"/>
  <c r="Q61" i="11"/>
  <c r="M28" i="16"/>
  <c r="M146" i="11"/>
  <c r="Q63" i="11"/>
  <c r="N38" i="21"/>
  <c r="N37" i="22"/>
  <c r="M9" i="16"/>
  <c r="M136" i="11"/>
  <c r="Q31" i="11"/>
  <c r="J58" i="2"/>
  <c r="J41" i="2"/>
  <c r="J30" i="2"/>
  <c r="Q41" i="16"/>
  <c r="M56" i="16"/>
  <c r="D71" i="19"/>
  <c r="Q9" i="7"/>
  <c r="M86" i="7"/>
  <c r="M8" i="7"/>
  <c r="M111" i="14" s="1"/>
  <c r="L14" i="2"/>
  <c r="P14" i="2" s="1"/>
  <c r="M67" i="3"/>
  <c r="H52" i="15"/>
  <c r="P10" i="15"/>
  <c r="M10" i="15"/>
  <c r="M117" i="8"/>
  <c r="Q28" i="8"/>
  <c r="M145" i="11"/>
  <c r="Q62" i="11"/>
  <c r="M130" i="11"/>
  <c r="Q25" i="11"/>
  <c r="H27" i="16"/>
  <c r="H123" i="11"/>
  <c r="H122" i="11"/>
  <c r="P49" i="11"/>
  <c r="G23" i="4"/>
  <c r="M64" i="16" a="1"/>
  <c r="M64" i="16" s="1"/>
  <c r="M57" i="16"/>
  <c r="Q29" i="16"/>
  <c r="M51" i="16"/>
  <c r="Q22" i="16"/>
  <c r="M29" i="15"/>
  <c r="H57" i="15"/>
  <c r="P29" i="15"/>
  <c r="M122" i="6"/>
  <c r="Q52" i="6"/>
  <c r="M64" i="3"/>
  <c r="L11" i="2"/>
  <c r="P11" i="2" s="1"/>
  <c r="M140" i="11"/>
  <c r="Q52" i="11"/>
  <c r="D44" i="5"/>
  <c r="O21" i="4"/>
  <c r="M125" i="11"/>
  <c r="Q9" i="11"/>
  <c r="L11" i="4"/>
  <c r="M92" i="14"/>
  <c r="AD21" i="1" s="1"/>
  <c r="Q8" i="14"/>
  <c r="M88" i="14"/>
  <c r="E31" i="4"/>
  <c r="E44" i="4" s="1"/>
  <c r="E17" i="22" s="1"/>
  <c r="M114" i="8"/>
  <c r="Q25" i="8"/>
  <c r="M129" i="8"/>
  <c r="Q62" i="8"/>
  <c r="O9" i="2"/>
  <c r="N35" i="21"/>
  <c r="N34" i="22"/>
  <c r="D15" i="21"/>
  <c r="M22" i="11"/>
  <c r="D22" i="21"/>
  <c r="D21" i="22"/>
  <c r="E44" i="5"/>
  <c r="E112" i="14"/>
  <c r="M27" i="16"/>
  <c r="G112" i="14"/>
  <c r="I44" i="5"/>
  <c r="D11" i="19"/>
  <c r="M136" i="8"/>
  <c r="M104" i="8"/>
  <c r="Q9" i="8"/>
  <c r="L9" i="4"/>
  <c r="L25" i="2"/>
  <c r="M74" i="3"/>
  <c r="D58" i="19"/>
  <c r="M121" i="6"/>
  <c r="L10" i="2"/>
  <c r="P10" i="2" s="1"/>
  <c r="Q42" i="6"/>
  <c r="M63" i="3"/>
  <c r="I23" i="2"/>
  <c r="I50" i="2" s="1"/>
  <c r="I57" i="2"/>
  <c r="I31" i="2"/>
  <c r="I22" i="2"/>
  <c r="I49" i="2" s="1"/>
  <c r="D38" i="5"/>
  <c r="D11" i="5"/>
  <c r="I31" i="4"/>
  <c r="I44" i="4" s="1"/>
  <c r="I58" i="4"/>
  <c r="M118" i="8"/>
  <c r="Q29" i="8"/>
  <c r="D31" i="4"/>
  <c r="D44" i="4" s="1"/>
  <c r="D17" i="22" s="1"/>
  <c r="D58" i="4"/>
  <c r="H35" i="21"/>
  <c r="H34" i="22"/>
  <c r="M141" i="11"/>
  <c r="Q53" i="11"/>
  <c r="I38" i="5"/>
  <c r="I11" i="5"/>
  <c r="M8" i="6"/>
  <c r="M50" i="4" l="1"/>
  <c r="M12" i="4"/>
  <c r="M41" i="4" s="1"/>
  <c r="M24" i="4"/>
  <c r="M43" i="4" s="1"/>
  <c r="M52" i="4"/>
  <c r="N62" i="3"/>
  <c r="N120" i="6"/>
  <c r="M9" i="2"/>
  <c r="N8" i="6"/>
  <c r="AD27" i="1" s="1"/>
  <c r="M10" i="5"/>
  <c r="M39" i="5" s="1"/>
  <c r="M13" i="2"/>
  <c r="N84" i="7"/>
  <c r="N111" i="14"/>
  <c r="N66" i="3"/>
  <c r="N119" i="11"/>
  <c r="M24" i="5"/>
  <c r="M44" i="5" s="1"/>
  <c r="M30" i="4"/>
  <c r="M58" i="4" s="1"/>
  <c r="N149" i="11"/>
  <c r="M138" i="8"/>
  <c r="N79" i="3"/>
  <c r="N144" i="8"/>
  <c r="M28" i="4"/>
  <c r="M48" i="4"/>
  <c r="M18" i="4"/>
  <c r="M42" i="4" s="1"/>
  <c r="L23" i="4"/>
  <c r="P23" i="4" s="1"/>
  <c r="Q49" i="11"/>
  <c r="M122" i="11"/>
  <c r="L25" i="21" s="1"/>
  <c r="M8" i="11"/>
  <c r="Q8" i="11" s="1"/>
  <c r="O13" i="2"/>
  <c r="N14" i="21" s="1"/>
  <c r="G58" i="2"/>
  <c r="M27" i="15"/>
  <c r="Q27" i="15" s="1"/>
  <c r="O12" i="4"/>
  <c r="L34" i="4"/>
  <c r="P34" i="4" s="1"/>
  <c r="M141" i="8"/>
  <c r="G61" i="2"/>
  <c r="M8" i="8"/>
  <c r="M103" i="8" s="1"/>
  <c r="L15" i="21" s="1"/>
  <c r="M83" i="3"/>
  <c r="M107" i="8"/>
  <c r="L36" i="2"/>
  <c r="P36" i="2" s="1"/>
  <c r="O18" i="21" s="1"/>
  <c r="L21" i="4"/>
  <c r="L49" i="4" s="1"/>
  <c r="Q49" i="8"/>
  <c r="H118" i="6"/>
  <c r="F38" i="5"/>
  <c r="G8" i="2"/>
  <c r="G57" i="2" s="1"/>
  <c r="P8" i="6"/>
  <c r="G9" i="5"/>
  <c r="G38" i="5" s="1"/>
  <c r="P12" i="2"/>
  <c r="K38" i="5"/>
  <c r="O41" i="2"/>
  <c r="D23" i="2"/>
  <c r="D50" i="2" s="1"/>
  <c r="D31" i="2"/>
  <c r="D52" i="2" s="1"/>
  <c r="D22" i="2"/>
  <c r="D49" i="2" s="1"/>
  <c r="K22" i="2"/>
  <c r="K64" i="2" s="1"/>
  <c r="J31" i="2"/>
  <c r="J51" i="2" s="1"/>
  <c r="J11" i="5"/>
  <c r="J30" i="5" s="1"/>
  <c r="J57" i="2"/>
  <c r="J23" i="2"/>
  <c r="J50" i="2" s="1"/>
  <c r="F31" i="2"/>
  <c r="F51" i="2" s="1"/>
  <c r="F57" i="2"/>
  <c r="F23" i="2"/>
  <c r="F31" i="5" s="1"/>
  <c r="K31" i="2"/>
  <c r="D10" i="20" s="1"/>
  <c r="K57" i="2"/>
  <c r="M98" i="8"/>
  <c r="M140" i="8" s="1"/>
  <c r="L35" i="21"/>
  <c r="L34" i="22"/>
  <c r="Q27" i="16"/>
  <c r="M54" i="16"/>
  <c r="H103" i="8"/>
  <c r="P8" i="8"/>
  <c r="N15" i="21" s="1"/>
  <c r="H23" i="22"/>
  <c r="H24" i="21"/>
  <c r="L50" i="4"/>
  <c r="L12" i="4"/>
  <c r="P12" i="4" s="1"/>
  <c r="P11" i="4"/>
  <c r="O15" i="22" s="1"/>
  <c r="O35" i="21"/>
  <c r="O34" i="22"/>
  <c r="O23" i="21"/>
  <c r="O22" i="22"/>
  <c r="D53" i="20"/>
  <c r="M64" i="15" a="1"/>
  <c r="M64" i="15" s="1"/>
  <c r="M57" i="15"/>
  <c r="Q29" i="15"/>
  <c r="H54" i="16"/>
  <c r="P27" i="16"/>
  <c r="D52" i="20"/>
  <c r="M63" i="15" a="1"/>
  <c r="M63" i="15" s="1"/>
  <c r="M52" i="15"/>
  <c r="Q10" i="15"/>
  <c r="C7" i="20"/>
  <c r="F49" i="2"/>
  <c r="F64" i="2"/>
  <c r="F112" i="14"/>
  <c r="O33" i="2"/>
  <c r="N17" i="21" s="1"/>
  <c r="G60" i="2"/>
  <c r="O38" i="21"/>
  <c r="O37" i="22"/>
  <c r="P8" i="16"/>
  <c r="H49" i="16"/>
  <c r="M50" i="16"/>
  <c r="Q9" i="16"/>
  <c r="E31" i="2"/>
  <c r="E22" i="2"/>
  <c r="E49" i="2" s="1"/>
  <c r="E23" i="2"/>
  <c r="E50" i="2" s="1"/>
  <c r="E57" i="2"/>
  <c r="O15" i="4"/>
  <c r="G48" i="4"/>
  <c r="L59" i="2"/>
  <c r="L42" i="2"/>
  <c r="P42" i="2" s="1"/>
  <c r="P25" i="2"/>
  <c r="O16" i="21" s="1"/>
  <c r="H25" i="21"/>
  <c r="H24" i="22"/>
  <c r="D23" i="5"/>
  <c r="D30" i="5"/>
  <c r="F23" i="5"/>
  <c r="F30" i="5"/>
  <c r="M55" i="16"/>
  <c r="Q28" i="16"/>
  <c r="E38" i="5"/>
  <c r="E11" i="5"/>
  <c r="H144" i="8"/>
  <c r="P95" i="8"/>
  <c r="H79" i="3"/>
  <c r="G28" i="4"/>
  <c r="H119" i="11"/>
  <c r="P8" i="11"/>
  <c r="G24" i="5"/>
  <c r="D8" i="19"/>
  <c r="M118" i="6"/>
  <c r="L9" i="5"/>
  <c r="L8" i="2"/>
  <c r="Q8" i="6"/>
  <c r="M61" i="3"/>
  <c r="I31" i="5"/>
  <c r="I23" i="5"/>
  <c r="I30" i="5"/>
  <c r="K112" i="14"/>
  <c r="M54" i="15"/>
  <c r="G37" i="4"/>
  <c r="O37" i="4" s="1"/>
  <c r="G59" i="4"/>
  <c r="O34" i="4"/>
  <c r="O17" i="4"/>
  <c r="N8" i="22" s="1"/>
  <c r="G51" i="4"/>
  <c r="G18" i="4"/>
  <c r="O18" i="4" s="1"/>
  <c r="M8" i="16"/>
  <c r="M121" i="11"/>
  <c r="M120" i="11"/>
  <c r="M81" i="11"/>
  <c r="Q22" i="11"/>
  <c r="L17" i="4"/>
  <c r="L23" i="21"/>
  <c r="L22" i="22"/>
  <c r="D8" i="20"/>
  <c r="K65" i="2"/>
  <c r="K50" i="2"/>
  <c r="I44" i="2"/>
  <c r="I55" i="2" s="1"/>
  <c r="I39" i="2"/>
  <c r="I53" i="2" s="1"/>
  <c r="I52" i="2"/>
  <c r="I51" i="2"/>
  <c r="G24" i="4"/>
  <c r="O24" i="4" s="1"/>
  <c r="G52" i="4"/>
  <c r="O23" i="4"/>
  <c r="N39" i="21"/>
  <c r="N40" i="22"/>
  <c r="N39" i="22"/>
  <c r="I112" i="14"/>
  <c r="Q10" i="16"/>
  <c r="M52" i="16"/>
  <c r="M63" i="16" a="1"/>
  <c r="M63" i="16" s="1"/>
  <c r="O30" i="2"/>
  <c r="N24" i="21"/>
  <c r="N23" i="22"/>
  <c r="D104" i="19"/>
  <c r="Q8" i="7"/>
  <c r="M84" i="7"/>
  <c r="AD18" i="1" s="1"/>
  <c r="L10" i="5"/>
  <c r="M66" i="3"/>
  <c r="L13" i="2"/>
  <c r="AD28" i="1"/>
  <c r="M8" i="15"/>
  <c r="M105" i="8"/>
  <c r="M95" i="8"/>
  <c r="M106" i="8"/>
  <c r="Q22" i="8"/>
  <c r="M80" i="3"/>
  <c r="L15" i="4"/>
  <c r="L33" i="2"/>
  <c r="H23" i="2"/>
  <c r="H50" i="2" s="1"/>
  <c r="H57" i="2"/>
  <c r="H31" i="2"/>
  <c r="H22" i="2"/>
  <c r="H49" i="2" s="1"/>
  <c r="H140" i="8"/>
  <c r="P98" i="8"/>
  <c r="H149" i="11"/>
  <c r="P81" i="11"/>
  <c r="G30" i="4"/>
  <c r="Q28" i="15"/>
  <c r="O40" i="21" s="1"/>
  <c r="M55" i="15"/>
  <c r="L47" i="4"/>
  <c r="P9" i="4"/>
  <c r="H38" i="5"/>
  <c r="H11" i="5"/>
  <c r="H49" i="15"/>
  <c r="P8" i="15"/>
  <c r="N36" i="22"/>
  <c r="N37" i="21"/>
  <c r="M50" i="15"/>
  <c r="Q9" i="15"/>
  <c r="J112" i="14"/>
  <c r="K30" i="5"/>
  <c r="K31" i="5"/>
  <c r="K23" i="5"/>
  <c r="M58" i="2" l="1"/>
  <c r="M41" i="2"/>
  <c r="M30" i="2"/>
  <c r="N112" i="14" s="1"/>
  <c r="M9" i="5"/>
  <c r="M8" i="2"/>
  <c r="N118" i="6"/>
  <c r="N61" i="3"/>
  <c r="L52" i="4"/>
  <c r="M119" i="11"/>
  <c r="L21" i="22" s="1"/>
  <c r="M56" i="4"/>
  <c r="M31" i="4"/>
  <c r="M44" i="4" s="1"/>
  <c r="L59" i="4"/>
  <c r="AD32" i="1"/>
  <c r="L24" i="5"/>
  <c r="P24" i="5" s="1"/>
  <c r="L24" i="22"/>
  <c r="AD17" i="1"/>
  <c r="G23" i="2"/>
  <c r="O23" i="2" s="1"/>
  <c r="N9" i="21" s="1"/>
  <c r="L37" i="4"/>
  <c r="P37" i="4" s="1"/>
  <c r="L24" i="4"/>
  <c r="L43" i="4" s="1"/>
  <c r="L16" i="22" s="1"/>
  <c r="Q8" i="8"/>
  <c r="O15" i="21" s="1"/>
  <c r="L61" i="2"/>
  <c r="P21" i="4"/>
  <c r="Q98" i="8"/>
  <c r="G45" i="4"/>
  <c r="H18" i="22" s="1"/>
  <c r="D7" i="20"/>
  <c r="O8" i="2"/>
  <c r="N13" i="21" s="1"/>
  <c r="G31" i="2"/>
  <c r="G44" i="2" s="1"/>
  <c r="G22" i="2"/>
  <c r="G49" i="2" s="1"/>
  <c r="G11" i="5"/>
  <c r="G23" i="5" s="1"/>
  <c r="O9" i="5"/>
  <c r="K49" i="2"/>
  <c r="D39" i="2"/>
  <c r="E143" i="8" s="1"/>
  <c r="D51" i="2"/>
  <c r="C8" i="20"/>
  <c r="D31" i="5"/>
  <c r="D44" i="2"/>
  <c r="D55" i="2" s="1"/>
  <c r="F65" i="2"/>
  <c r="J52" i="2"/>
  <c r="F50" i="2"/>
  <c r="F52" i="2"/>
  <c r="J23" i="5"/>
  <c r="J25" i="5" s="1"/>
  <c r="J29" i="5" s="1"/>
  <c r="J44" i="2"/>
  <c r="J55" i="2" s="1"/>
  <c r="J39" i="2"/>
  <c r="J53" i="2" s="1"/>
  <c r="J31" i="5"/>
  <c r="F67" i="2"/>
  <c r="F39" i="2"/>
  <c r="G143" i="8" s="1"/>
  <c r="C10" i="20"/>
  <c r="F44" i="2"/>
  <c r="F55" i="2" s="1"/>
  <c r="K51" i="2"/>
  <c r="K67" i="2"/>
  <c r="K52" i="2"/>
  <c r="K44" i="2"/>
  <c r="K55" i="2" s="1"/>
  <c r="K39" i="2"/>
  <c r="L143" i="8" s="1"/>
  <c r="G43" i="4"/>
  <c r="H16" i="22" s="1"/>
  <c r="L41" i="4"/>
  <c r="L14" i="22" s="1"/>
  <c r="H44" i="2"/>
  <c r="H55" i="2" s="1"/>
  <c r="H39" i="2"/>
  <c r="I143" i="8" s="1"/>
  <c r="H52" i="2"/>
  <c r="H51" i="2"/>
  <c r="L57" i="2"/>
  <c r="L31" i="2"/>
  <c r="L22" i="2"/>
  <c r="L23" i="2"/>
  <c r="P8" i="2"/>
  <c r="O13" i="21" s="1"/>
  <c r="O28" i="4"/>
  <c r="G56" i="4"/>
  <c r="K33" i="5"/>
  <c r="K25" i="5"/>
  <c r="K29" i="5" s="1"/>
  <c r="O30" i="4"/>
  <c r="G31" i="4"/>
  <c r="O31" i="4" s="1"/>
  <c r="G58" i="4"/>
  <c r="M49" i="16"/>
  <c r="Q8" i="16"/>
  <c r="L38" i="5"/>
  <c r="L11" i="5"/>
  <c r="P9" i="5"/>
  <c r="G50" i="2"/>
  <c r="L44" i="5"/>
  <c r="F25" i="5"/>
  <c r="F29" i="5" s="1"/>
  <c r="F33" i="5"/>
  <c r="O21" i="22"/>
  <c r="O22" i="21"/>
  <c r="H15" i="21"/>
  <c r="AD19" i="1"/>
  <c r="L60" i="2"/>
  <c r="P33" i="2"/>
  <c r="O17" i="21" s="1"/>
  <c r="G42" i="4"/>
  <c r="H15" i="22" s="1"/>
  <c r="L22" i="21"/>
  <c r="AD37" i="1"/>
  <c r="H31" i="5"/>
  <c r="H23" i="5"/>
  <c r="H30" i="5"/>
  <c r="M49" i="15"/>
  <c r="Q8" i="15"/>
  <c r="P15" i="4"/>
  <c r="L48" i="4"/>
  <c r="AD36" i="1"/>
  <c r="L51" i="4"/>
  <c r="L18" i="4"/>
  <c r="P18" i="4" s="1"/>
  <c r="P17" i="4"/>
  <c r="O8" i="22" s="1"/>
  <c r="I54" i="2"/>
  <c r="N36" i="21"/>
  <c r="N35" i="22"/>
  <c r="O24" i="21"/>
  <c r="O23" i="22"/>
  <c r="G44" i="5"/>
  <c r="O24" i="5"/>
  <c r="E31" i="5"/>
  <c r="E23" i="5"/>
  <c r="E30" i="5"/>
  <c r="L41" i="2"/>
  <c r="P41" i="2" s="1"/>
  <c r="P13" i="2"/>
  <c r="O14" i="21" s="1"/>
  <c r="L30" i="2"/>
  <c r="L58" i="2"/>
  <c r="O37" i="21"/>
  <c r="O36" i="22"/>
  <c r="P10" i="5"/>
  <c r="L39" i="5"/>
  <c r="M149" i="11"/>
  <c r="Q81" i="11"/>
  <c r="L30" i="4"/>
  <c r="O40" i="22"/>
  <c r="O39" i="21"/>
  <c r="O39" i="22"/>
  <c r="N21" i="22"/>
  <c r="N22" i="21"/>
  <c r="J143" i="8"/>
  <c r="L24" i="21"/>
  <c r="L23" i="22"/>
  <c r="I25" i="5"/>
  <c r="I29" i="5" s="1"/>
  <c r="I33" i="5"/>
  <c r="H22" i="21"/>
  <c r="H21" i="22"/>
  <c r="D33" i="5"/>
  <c r="D25" i="5"/>
  <c r="D29" i="5" s="1"/>
  <c r="E51" i="2"/>
  <c r="E44" i="2"/>
  <c r="E55" i="2" s="1"/>
  <c r="E39" i="2"/>
  <c r="F143" i="8" s="1"/>
  <c r="E52" i="2"/>
  <c r="M144" i="8"/>
  <c r="Q95" i="8"/>
  <c r="M79" i="3"/>
  <c r="L28" i="4"/>
  <c r="AD29" i="1"/>
  <c r="M11" i="5" l="1"/>
  <c r="M38" i="5"/>
  <c r="M31" i="2"/>
  <c r="M22" i="2"/>
  <c r="M49" i="2" s="1"/>
  <c r="M57" i="2"/>
  <c r="M23" i="2"/>
  <c r="M50" i="2" s="1"/>
  <c r="AD20" i="1"/>
  <c r="L10" i="1" s="1"/>
  <c r="G31" i="5"/>
  <c r="P24" i="4"/>
  <c r="L45" i="4"/>
  <c r="L18" i="22" s="1"/>
  <c r="L42" i="4"/>
  <c r="L15" i="22" s="1"/>
  <c r="K143" i="8"/>
  <c r="G51" i="2"/>
  <c r="G39" i="2"/>
  <c r="G54" i="2" s="1"/>
  <c r="D53" i="2"/>
  <c r="O31" i="2"/>
  <c r="N10" i="21" s="1"/>
  <c r="G52" i="2"/>
  <c r="G30" i="5"/>
  <c r="O22" i="2"/>
  <c r="N8" i="21" s="1"/>
  <c r="O11" i="5"/>
  <c r="K54" i="2"/>
  <c r="D54" i="2"/>
  <c r="F54" i="2"/>
  <c r="J33" i="5"/>
  <c r="F53" i="2"/>
  <c r="J54" i="2"/>
  <c r="K53" i="2"/>
  <c r="G25" i="5"/>
  <c r="O23" i="5"/>
  <c r="G33" i="5"/>
  <c r="L31" i="5"/>
  <c r="L23" i="5"/>
  <c r="P11" i="5"/>
  <c r="L30" i="5"/>
  <c r="D14" i="19"/>
  <c r="D106" i="19" s="1"/>
  <c r="L52" i="2"/>
  <c r="L51" i="2"/>
  <c r="L44" i="2"/>
  <c r="L39" i="2"/>
  <c r="L54" i="2" s="1"/>
  <c r="P31" i="2"/>
  <c r="O10" i="21" s="1"/>
  <c r="E33" i="5"/>
  <c r="E25" i="5"/>
  <c r="E29" i="5" s="1"/>
  <c r="E53" i="2"/>
  <c r="E54" i="2"/>
  <c r="P28" i="4"/>
  <c r="L56" i="4"/>
  <c r="L31" i="4"/>
  <c r="P31" i="4" s="1"/>
  <c r="P30" i="4"/>
  <c r="L58" i="4"/>
  <c r="O44" i="2"/>
  <c r="G55" i="2"/>
  <c r="P30" i="2"/>
  <c r="M112" i="14"/>
  <c r="O36" i="21"/>
  <c r="O35" i="22"/>
  <c r="H53" i="2"/>
  <c r="H54" i="2"/>
  <c r="P23" i="2"/>
  <c r="O9" i="21" s="1"/>
  <c r="L50" i="2"/>
  <c r="H25" i="5"/>
  <c r="H29" i="5" s="1"/>
  <c r="H33" i="5"/>
  <c r="G44" i="4"/>
  <c r="H17" i="22" s="1"/>
  <c r="L49" i="2"/>
  <c r="P22" i="2"/>
  <c r="O8" i="21" s="1"/>
  <c r="M51" i="2" l="1"/>
  <c r="M39" i="2"/>
  <c r="M44" i="2"/>
  <c r="M55" i="2" s="1"/>
  <c r="M52" i="2"/>
  <c r="M23" i="5"/>
  <c r="M30" i="5"/>
  <c r="M31" i="5"/>
  <c r="O39" i="2"/>
  <c r="G53" i="2"/>
  <c r="H143" i="8"/>
  <c r="L33" i="5"/>
  <c r="P23" i="5"/>
  <c r="L25" i="5"/>
  <c r="P25" i="5" s="1"/>
  <c r="L44" i="4"/>
  <c r="L17" i="22" s="1"/>
  <c r="P39" i="2"/>
  <c r="M143" i="8"/>
  <c r="L53" i="2"/>
  <c r="L55" i="2"/>
  <c r="P44" i="2"/>
  <c r="O25" i="5"/>
  <c r="G29" i="5"/>
  <c r="N143" i="8" l="1"/>
  <c r="M53" i="2"/>
  <c r="M54" i="2"/>
  <c r="M25" i="5"/>
  <c r="M29" i="5" s="1"/>
  <c r="M33" i="5"/>
  <c r="L29" i="5"/>
</calcChain>
</file>

<file path=xl/comments1.xml><?xml version="1.0" encoding="utf-8"?>
<comments xmlns="http://schemas.openxmlformats.org/spreadsheetml/2006/main">
  <authors>
    <author>TWickens</author>
    <author>veswaran</author>
    <author>MAlves</author>
  </authors>
  <commentList>
    <comment ref="I8" authorId="0" shapeId="0">
      <text>
        <r>
          <rPr>
            <sz val="8"/>
            <rFont val="Tahoma"/>
            <family val="2"/>
          </rPr>
          <t xml:space="preserve">La moneda solo deberá escribirse en esta página y aparecerá en las páginas siguientes.
</t>
        </r>
      </text>
    </comment>
    <comment ref="I9" authorId="0" shapeId="0">
      <text>
        <r>
          <rPr>
            <sz val="8"/>
            <rFont val="Tahoma"/>
            <family val="2"/>
          </rPr>
          <t xml:space="preserve">El código solo deberá escribirse en esta página y aparecerá en las páginas siguientes.
</t>
        </r>
      </text>
    </comment>
    <comment ref="I10" authorId="0" shapeId="0">
      <text>
        <r>
          <rPr>
            <sz val="8"/>
            <rFont val="Tahoma"/>
            <family val="2"/>
          </rPr>
          <t xml:space="preserve">El ejercicio solo deberá escribirse en esta página y aparecerá en las páginas siguientes.
</t>
        </r>
      </text>
    </comment>
    <comment ref="I11" authorId="0" shapeId="0">
      <text>
        <r>
          <rPr>
            <sz val="8"/>
            <rFont val="Tahoma"/>
            <family val="2"/>
          </rPr>
          <t xml:space="preserve">Month of fiscal year end only needs to be entered here and it will appear on every subsequent page
</t>
        </r>
      </text>
    </comment>
    <comment ref="I12" authorId="1" shapeId="0">
      <text>
        <r>
          <rPr>
            <sz val="9"/>
            <rFont val="Tahoma"/>
            <family val="2"/>
          </rPr>
          <t>Day of fiscal year end only needs to be entered here and it will appear on every subsequent page</t>
        </r>
      </text>
    </comment>
    <comment ref="I13" authorId="0" shapeId="0">
      <text>
        <r>
          <rPr>
            <sz val="8"/>
            <rFont val="Tahoma"/>
            <family val="2"/>
          </rPr>
          <t xml:space="preserve">La moneda solo deberá escribirse en esta página y aparecerá en las páginas siguientes.
</t>
        </r>
      </text>
    </comment>
    <comment ref="I15" authorId="0" shapeId="0">
      <text>
        <r>
          <rPr>
            <sz val="8"/>
            <rFont val="Tahoma"/>
            <family val="2"/>
          </rPr>
          <t xml:space="preserve">Las unidades monetarias solo deberán escribirse en esta página y aparecerán en las páginas siguientes.
</t>
        </r>
      </text>
    </comment>
    <comment ref="H27" authorId="2" shapeId="0">
      <text>
        <r>
          <rPr>
            <sz val="9"/>
            <rFont val="Tahoma"/>
            <family val="2"/>
          </rPr>
          <t>Para los datos de cada subsector indique la naturaleza de los datos escribiendo una A si son finales, P si son datos preliminares, o E si se trata de una estimación.</t>
        </r>
      </text>
    </comment>
    <comment ref="H28" authorId="2" shapeId="0">
      <text>
        <r>
          <rPr>
            <sz val="9"/>
            <rFont val="Tahoma"/>
            <family val="2"/>
          </rPr>
          <t xml:space="preserve">Para los datos de cada subsector indique las prácticas contables usadas poniendo una CA para indicar datos en base caja o AC para indicar una base diferente a la de caja. </t>
        </r>
      </text>
    </comment>
    <comment ref="H29" authorId="2" shapeId="0">
      <text>
        <r>
          <rPr>
            <sz val="9"/>
            <rFont val="Tahoma"/>
            <family val="2"/>
          </rPr>
          <t xml:space="preserve">Para los datos de cada subsector indique las prácticas contables usadas poniendo una CA para indicar datos en base caja o AC para indicar una base diferente a la de caja. </t>
        </r>
      </text>
    </comment>
    <comment ref="H30" authorId="2" shapeId="0">
      <text>
        <r>
          <rPr>
            <sz val="9"/>
            <rFont val="Tahoma"/>
            <family val="2"/>
          </rPr>
          <t xml:space="preserve">Para los datos de cada subsector indique las prácticas contables usadas poniendo una CA para indicar datos en base caja o AC para indicar una base diferente a la de caja. </t>
        </r>
      </text>
    </comment>
    <comment ref="H31" authorId="2" shapeId="0">
      <text>
        <r>
          <rPr>
            <sz val="9"/>
            <rFont val="Tahoma"/>
            <family val="2"/>
          </rPr>
          <t xml:space="preserve">Para los datos de cada subsector indique las prácticas contables usadas poniendo una CA para indicar datos en base caja o AC para indicar una base diferente a la de caja. </t>
        </r>
      </text>
    </comment>
    <comment ref="H32" authorId="2" shapeId="0">
      <text>
        <r>
          <rPr>
            <sz val="9"/>
            <rFont val="Tahoma"/>
            <family val="2"/>
          </rPr>
          <t xml:space="preserve">Para los datos de cada subsector indique cómo se presenta la inversión en activos no financieros poniendo una GR para indicar datos en cifras brutas (antes de deducir el consumo de capital fijo) o una NT para indicar en cifras netas (después de deducir el consumo de capital fijo). </t>
        </r>
      </text>
    </comment>
    <comment ref="H33" authorId="2" shapeId="0">
      <text>
        <r>
          <rPr>
            <sz val="9"/>
            <rFont val="Tahoma"/>
            <family val="2"/>
          </rPr>
          <t xml:space="preserve">Para los datos de cada subsector indique la valoración utilizada poniendo una MV para indicar el valor de mercado, HV para indicar el valor histórico, o BV para indicar el valor contable. </t>
        </r>
      </text>
    </comment>
    <comment ref="H34" authorId="2" shapeId="0">
      <text>
        <r>
          <rPr>
            <sz val="9"/>
            <rFont val="Tahoma"/>
            <family val="2"/>
          </rPr>
          <t xml:space="preserve">Para los datos de cada subsector indique la valoración utilizada poniendo una MV para indicar el valor de mercado, NV para indicar el valor nominal, o FV para indicar el valor facial. </t>
        </r>
      </text>
    </comment>
    <comment ref="H35" authorId="2" shapeId="0">
      <text>
        <r>
          <rPr>
            <sz val="9"/>
            <rFont val="Tahoma"/>
            <family val="2"/>
          </rPr>
          <t xml:space="preserve">Para los datos de cada subsector indique la valoración utilizada poniendo una MV para indicar el valor de mercado, NV para indicar el valor nominal, o FV para indicar el valor facial. </t>
        </r>
      </text>
    </comment>
  </commentList>
</comments>
</file>

<file path=xl/comments10.xml><?xml version="1.0" encoding="utf-8"?>
<comments xmlns="http://schemas.openxmlformats.org/spreadsheetml/2006/main">
  <authors>
    <author>MAlves</author>
  </authors>
  <commentList>
    <comment ref="M4" authorId="0" shapeId="0">
      <text>
        <r>
          <rPr>
            <sz val="9"/>
            <rFont val="Tahoma"/>
            <family val="2"/>
          </rPr>
          <t>Consolidación Gobierno central (CG), Fondos de seguridad social (SSF), Gobiernos estatales (SG) y Gobiernos locales (LG)</t>
        </r>
      </text>
    </comment>
    <comment ref="H5" authorId="0" shapeId="0">
      <text>
        <r>
          <rPr>
            <sz val="9"/>
            <rFont val="Tahoma"/>
            <family val="2"/>
          </rPr>
          <t>Consolidación Presupuestario (BA) y Extrapresupuestario (EA)</t>
        </r>
      </text>
    </comment>
    <comment ref="C8" authorId="0" shapeId="0">
      <text>
        <r>
          <rPr>
            <sz val="9"/>
            <rFont val="Tahoma"/>
            <family val="2"/>
          </rPr>
          <t>Variación en el patrimonio neto debido a otras variaciones en el volumen de activos y pasivos.</t>
        </r>
      </text>
    </comment>
    <comment ref="C37" authorId="0" shapeId="0">
      <text>
        <r>
          <rPr>
            <sz val="9"/>
            <rFont val="Tahoma"/>
            <family val="2"/>
          </rPr>
          <t xml:space="preserve">Variación en el patrimonio financiero neto debido a otras variaciones en el volumen de activos y pasivos.
</t>
        </r>
      </text>
    </comment>
    <comment ref="C38" authorId="0" shapeId="0">
      <text>
        <r>
          <rPr>
            <sz val="9"/>
            <rFont val="Tahoma"/>
            <family val="2"/>
          </rPr>
          <t>Ce poste indique la valeur de tous les autres changements de volume de passifs hormis actions et parts de fonds d'investissement et produits financiers dérivés et options sur titres des salariés.</t>
        </r>
      </text>
    </comment>
    <comment ref="C39" authorId="0" shapeId="0">
      <text>
        <r>
          <rPr>
            <sz val="9"/>
            <rFont val="Tahoma"/>
            <family val="2"/>
          </rPr>
          <t>Les passsifs D3 sont les DTS, numéraire et dépôts, titres de créance, crédits et autres comptes à payer.</t>
        </r>
      </text>
    </comment>
    <comment ref="C40" authorId="0" shapeId="0">
      <text>
        <r>
          <rPr>
            <sz val="9"/>
            <rFont val="Tahoma"/>
            <family val="2"/>
          </rPr>
          <t>Les passsifs D2 sont les DTS, numéraire et dépôts, titres de créance et crédits.</t>
        </r>
      </text>
    </comment>
    <comment ref="C41" authorId="0" shapeId="0">
      <text>
        <r>
          <rPr>
            <sz val="9"/>
            <rFont val="Tahoma"/>
            <family val="2"/>
          </rPr>
          <t>Les passifs D1 sont les titres de créance et les crédits.</t>
        </r>
      </text>
    </comment>
    <comment ref="C43" authorId="0" shapeId="0">
      <text>
        <r>
          <rPr>
            <sz val="9"/>
            <rFont val="Tahoma"/>
            <family val="2"/>
          </rPr>
          <t>Si existen datos en todas las categorías, los resultados para todas las fórmulas de verificación vertical serán cero</t>
        </r>
      </text>
    </comment>
  </commentList>
</comments>
</file>

<file path=xl/comments11.xml><?xml version="1.0" encoding="utf-8"?>
<comments xmlns="http://schemas.openxmlformats.org/spreadsheetml/2006/main">
  <authors>
    <author>MAlves</author>
  </authors>
  <commentList>
    <comment ref="B4" authorId="0" shapeId="0">
      <text>
        <r>
          <rPr>
            <sz val="9"/>
            <rFont val="Tahoma"/>
            <family val="2"/>
          </rPr>
          <t>Saldos de activos y pasivos al final del ejercicio</t>
        </r>
      </text>
    </comment>
    <comment ref="M4" authorId="0" shapeId="0">
      <text>
        <r>
          <rPr>
            <sz val="9"/>
            <rFont val="Tahoma"/>
            <family val="2"/>
          </rPr>
          <t>Consolidación Gobierno central (CG), Fondos de seguridad social (SSF), Gobiernos estatales (SG) y Gobiernos locales (LG)</t>
        </r>
      </text>
    </comment>
    <comment ref="H5" authorId="0" shapeId="0">
      <text>
        <r>
          <rPr>
            <sz val="9"/>
            <rFont val="Tahoma"/>
            <family val="2"/>
          </rPr>
          <t>Consolidación Presupuestario (BA) y Extrapresupuestario (EA)</t>
        </r>
      </text>
    </comment>
    <comment ref="C83" authorId="0" shapeId="0">
      <text>
        <r>
          <rPr>
            <sz val="9"/>
            <rFont val="Tahoma"/>
            <family val="2"/>
          </rPr>
          <t>Esta partida muestra el valor de mercado de todos los pasivos, salvo "participaciones de capital y en fondos de inversión" y "derivados financieros y opciones de compra para empleados".</t>
        </r>
      </text>
    </comment>
    <comment ref="C84" authorId="0" shapeId="0">
      <text>
        <r>
          <rPr>
            <sz val="9"/>
            <rFont val="Tahoma"/>
            <family val="2"/>
          </rPr>
          <t>Los pasivos D3 son DEG, billetes y monedas y depósitos, títulos de deuda, préstamos y otras cuentas por pagar.</t>
        </r>
      </text>
    </comment>
    <comment ref="C85" authorId="0" shapeId="0">
      <text>
        <r>
          <rPr>
            <sz val="9"/>
            <rFont val="Tahoma"/>
            <family val="2"/>
          </rPr>
          <t>Los pasivos D2 son DEG, billetes, monedas y depósitos, títulos de deuda y préstamos.</t>
        </r>
      </text>
    </comment>
    <comment ref="C86" authorId="0" shapeId="0">
      <text>
        <r>
          <rPr>
            <sz val="9"/>
            <rFont val="Tahoma"/>
            <family val="2"/>
          </rPr>
          <t>Los pasivos D1 son títulos de deuda y préstamos.</t>
        </r>
      </text>
    </comment>
    <comment ref="C87" authorId="0" shapeId="0">
      <text>
        <r>
          <rPr>
            <sz val="9"/>
            <rFont val="Tahoma"/>
            <family val="2"/>
          </rPr>
          <t>El valor nominal de un instrumento de deuda constituye, en todo momento, el monto adeudado por el deudor al acreedor. Refleja el valor del instrumento en el momento en que este se crea y de los flujos económicos posteriores, como las transacciones (intereses devengados, reembolsos, ...), variaciones de valoración (excluidas las variaciones del precio de mercado), y otras variaciones, como las variaciones del tipo de cambio.</t>
        </r>
      </text>
    </comment>
    <comment ref="C91" authorId="0" shapeId="0">
      <text>
        <r>
          <rPr>
            <sz val="9"/>
            <rFont val="Tahoma"/>
            <family val="2"/>
          </rPr>
          <t>Definido como el monto no descontado del capital que debe reembolsarse al vencimiento (o antes).</t>
        </r>
      </text>
    </comment>
    <comment ref="C95" authorId="0" shapeId="0">
      <text>
        <r>
          <rPr>
            <sz val="9"/>
            <rFont val="Tahoma"/>
            <family val="2"/>
          </rPr>
          <t>Esta partida muestra el valor de mercado de todos los pasivos, salvo "participaciones de capital y en fondos de inversión" y "derivados financieros y opciones de compra para empleados".</t>
        </r>
      </text>
    </comment>
    <comment ref="C100" authorId="0" shapeId="0">
      <text>
        <r>
          <rPr>
            <sz val="9"/>
            <rFont val="Tahoma"/>
            <family val="2"/>
          </rPr>
          <t>Los títulos negociables de alta calidad son títulos negociados en mercados líquidos (incluidos los mercados de repos) que pueden convertirse fácilmente en efectivo, con un riesgo insignificante de que cambie su valor en condiciones comerciales normales.</t>
        </r>
      </text>
    </comment>
    <comment ref="C101" authorId="0" shapeId="0">
      <text>
        <r>
          <rPr>
            <sz val="9"/>
            <rFont val="Tahoma"/>
            <family val="2"/>
          </rPr>
          <t>Indicador de deuda pública utilizado para las deliberaciones de política. Si no existe para cada subsector, escriba el valor en el subsector más cercano. Esta partida solo se utilizará en las páginas de países del anuario GFS Yearbook. Los cuadros mundiales, en los que se busca la comparabilidad internacional, reflejan las definiciones estándar.</t>
        </r>
      </text>
    </comment>
    <comment ref="C108" authorId="0" shapeId="0">
      <text>
        <r>
          <rPr>
            <sz val="9"/>
            <rFont val="Tahoma"/>
            <family val="2"/>
          </rPr>
          <t>Valeur nominale des crédits à taux d'intérêt concessionnel.</t>
        </r>
      </text>
    </comment>
    <comment ref="C109" authorId="0" shapeId="0">
      <text>
        <r>
          <rPr>
            <sz val="9"/>
            <rFont val="Tahoma"/>
            <family val="2"/>
          </rPr>
          <t xml:space="preserve">Différence entre la valeur nominale des crédits concessionnels et leur valeur actuelle en utilisant un taux d'actualisation pertinent du marché. </t>
        </r>
      </text>
    </comment>
    <comment ref="C110" authorId="0" shapeId="0">
      <text>
        <r>
          <rPr>
            <sz val="9"/>
            <rFont val="Tahoma"/>
            <family val="2"/>
          </rPr>
          <t>Se definen como los montos vencidos e impagos.</t>
        </r>
      </text>
    </comment>
    <comment ref="C111" authorId="0" shapeId="0">
      <text>
        <r>
          <rPr>
            <sz val="9"/>
            <rFont val="Tahoma"/>
            <family val="2"/>
          </rPr>
          <t>Mecanismos financieros jurídicos o contractuales que dan lugar a una exigencia condicional de efectuar pagos de valor económico.</t>
        </r>
      </text>
    </comment>
    <comment ref="C112" authorId="0" shapeId="0">
      <text>
        <r>
          <rPr>
            <sz val="9"/>
            <rFont val="Tahoma"/>
            <family val="2"/>
          </rPr>
          <t>Pasivos de deuda de unidades del sector público y privado cuyo servicio está contractualmente garantizado por unidades del sector público.</t>
        </r>
      </text>
    </comment>
    <comment ref="C113" authorId="0" shapeId="0">
      <text>
        <r>
          <rPr>
            <sz val="9"/>
            <rFont val="Tahoma"/>
            <family val="2"/>
          </rPr>
          <t>Valeur actualisée des prestations de securité sociale qui ont déjà été acquis selon les lois et règlements existants mais sont payables dans le futur moins la valeur actuelle des cotisations des régimes de sécurité sociale.</t>
        </r>
      </text>
    </comment>
    <comment ref="C114" authorId="0" shapeId="0">
      <text>
        <r>
          <rPr>
            <sz val="9"/>
            <rFont val="Tahoma"/>
            <family val="2"/>
          </rPr>
          <t>Les crédits non productifs sont ceux pour lesquels (a) le paiement de principal et d'intérêts est exigible depuis trois mois (90 jours) ou plus; ou (b) les paiements d'intérêts correspondant à trois mois (90 jours) d'intérêts ou plus ont été capitalisés (réinvestis dans le montant de principal) ou le paiement a été reporté d'un commun accord; ou (c) des faits démontrent qu'il convient de reclasser le crédit comme non productif même en l'absence d'impayé depuis 90 jours, comme par exemple en cas de dépôt de bilan du débiteur.
La juste valeur est une valeur équivalente à la valeur de marché définie comme le montant pour lequel un actif pourrait être négocié, ou un passif réglé, dans une transaction effectuée en toute indépendance entre parties consentantes et averties.</t>
        </r>
      </text>
    </comment>
    <comment ref="C117" authorId="0" shapeId="0">
      <text>
        <r>
          <rPr>
            <sz val="9"/>
            <rFont val="Tahoma"/>
            <family val="2"/>
          </rPr>
          <t>Si existen datos en todas las categorías, los resultados para todas las fórmulas de verificación vertical serán cero</t>
        </r>
      </text>
    </comment>
  </commentList>
</comments>
</file>

<file path=xl/comments12.xml><?xml version="1.0" encoding="utf-8"?>
<comments xmlns="http://schemas.openxmlformats.org/spreadsheetml/2006/main">
  <authors>
    <author>MAlves</author>
  </authors>
  <commentList>
    <comment ref="B4" authorId="0" shapeId="0">
      <text>
        <r>
          <rPr>
            <sz val="9"/>
            <rFont val="Tahoma"/>
            <family val="2"/>
          </rPr>
          <t xml:space="preserve">Por lo general no se conocen los valores de mercado de los instrumentos de deuda que no sean títulos de deuda lo que significa que estos valores deben estimarse usando el valor nominal como valor representativo.
Por esta razón, este cuadro tiene una única partida para el valor de mercado (= nominal), para todos los instrumentos de deuda distintos de los títulos de deuda. Para los títulos de deuda, existen partidas para los valores de mercado y nominal. </t>
        </r>
      </text>
    </comment>
    <comment ref="M4" authorId="0" shapeId="0">
      <text>
        <r>
          <rPr>
            <sz val="9"/>
            <rFont val="Tahoma"/>
            <family val="2"/>
          </rPr>
          <t>Consolidación Gobierno central (CG), Fondos de seguridad social (SSF), Gobiernos estatales (SG) y Gobiernos locales (LG)</t>
        </r>
      </text>
    </comment>
    <comment ref="H5" authorId="0" shapeId="0">
      <text>
        <r>
          <rPr>
            <sz val="9"/>
            <rFont val="Tahoma"/>
            <family val="2"/>
          </rPr>
          <t>Consolidación Presupuestario (BA) y Extrapresupuestario (EA)</t>
        </r>
      </text>
    </comment>
    <comment ref="C85" authorId="0" shapeId="0">
      <text>
        <r>
          <rPr>
            <sz val="9"/>
            <rFont val="Tahoma"/>
            <family val="2"/>
          </rPr>
          <t>Si existen datos en todas las categorías, los resultados para todas las fórmulas de verificación vertical serán cero</t>
        </r>
      </text>
    </comment>
  </commentList>
</comments>
</file>

<file path=xl/comments13.xml><?xml version="1.0" encoding="utf-8"?>
<comments xmlns="http://schemas.openxmlformats.org/spreadsheetml/2006/main">
  <authors>
    <author>MAlves</author>
  </authors>
  <commentList>
    <comment ref="M4" authorId="0" shapeId="0">
      <text>
        <r>
          <rPr>
            <sz val="9"/>
            <rFont val="Tahoma"/>
            <family val="2"/>
          </rPr>
          <t>Consolidación Gobierno central (CG), Fondos de seguridad social (SSF), Gobiernos estatales (SG) y Gobiernos locales (LG)</t>
        </r>
      </text>
    </comment>
    <comment ref="H5" authorId="0" shapeId="0">
      <text>
        <r>
          <rPr>
            <sz val="9"/>
            <rFont val="Tahoma"/>
            <family val="2"/>
          </rPr>
          <t>Consolidación Presupuestario (BA) y Extrapresupuestario (EA)</t>
        </r>
      </text>
    </comment>
    <comment ref="C73" authorId="0" shapeId="0">
      <text>
        <r>
          <rPr>
            <sz val="9"/>
            <rFont val="Tahoma"/>
            <family val="2"/>
          </rPr>
          <t>Si existen datos en todas las categorías, los resultados para todas las fórmulas de verificación vertical serán cero</t>
        </r>
      </text>
    </comment>
  </commentList>
</comments>
</file>

<file path=xl/comments14.xml><?xml version="1.0" encoding="utf-8"?>
<comments xmlns="http://schemas.openxmlformats.org/spreadsheetml/2006/main">
  <authors>
    <author>MAlves</author>
  </authors>
  <commentList>
    <comment ref="M4" authorId="0" shapeId="0">
      <text>
        <r>
          <rPr>
            <sz val="9"/>
            <rFont val="Tahoma"/>
            <family val="2"/>
          </rPr>
          <t>Consolidación Gobierno central (CG), Fondos de seguridad social (SSF), Gobiernos estatales (SG) y Gobiernos locales (LG)</t>
        </r>
      </text>
    </comment>
    <comment ref="H5" authorId="0" shapeId="0">
      <text>
        <r>
          <rPr>
            <sz val="9"/>
            <rFont val="Tahoma"/>
            <family val="2"/>
          </rPr>
          <t>Consolidación Presupuestario (BA) y Extrapresupuestario (EA)</t>
        </r>
      </text>
    </comment>
    <comment ref="C17" authorId="0" shapeId="0">
      <text>
        <r>
          <rPr>
            <sz val="9"/>
            <rFont val="Tahoma"/>
            <family val="2"/>
          </rPr>
          <t>Transferencias entre diferentes niveles de gobierno que son de carácter general y no están asignadas a una función determinada.</t>
        </r>
      </text>
    </comment>
    <comment ref="C90" authorId="0" shapeId="0">
      <text>
        <r>
          <rPr>
            <sz val="9"/>
            <rFont val="Tahoma"/>
            <family val="2"/>
          </rPr>
          <t>Si existen datos en todas las categorías, los resultados para todas las fórmulas de verificación vertical serán cero</t>
        </r>
      </text>
    </comment>
  </commentList>
</comments>
</file>

<file path=xl/comments15.xml><?xml version="1.0" encoding="utf-8"?>
<comments xmlns="http://schemas.openxmlformats.org/spreadsheetml/2006/main">
  <authors>
    <author>MAlves</author>
  </authors>
  <commentList>
    <comment ref="M4" authorId="0" shapeId="0">
      <text>
        <r>
          <rPr>
            <sz val="9"/>
            <rFont val="Tahoma"/>
            <family val="2"/>
          </rPr>
          <t>Consolidación Gobierno central (CG), Fondos de seguridad social (SSF), Gobiernos estatales (SG) y Gobiernos locales (LG)</t>
        </r>
      </text>
    </comment>
    <comment ref="H5" authorId="0" shapeId="0">
      <text>
        <r>
          <rPr>
            <sz val="9"/>
            <rFont val="Tahoma"/>
            <family val="2"/>
          </rPr>
          <t>Consolidación Presupuestario (BA) y Extrapresupuestario (EA)</t>
        </r>
      </text>
    </comment>
    <comment ref="C47" authorId="0" shapeId="0">
      <text>
        <r>
          <rPr>
            <sz val="9"/>
            <rFont val="Tahoma"/>
            <family val="2"/>
          </rPr>
          <t>Si existen datos en todas las categorías, los resultados para todas las fórmulas de verificación vertical serán cero</t>
        </r>
      </text>
    </comment>
  </commentList>
</comments>
</file>

<file path=xl/comments16.xml><?xml version="1.0" encoding="utf-8"?>
<comments xmlns="http://schemas.openxmlformats.org/spreadsheetml/2006/main">
  <authors>
    <author>MAlves</author>
  </authors>
  <commentList>
    <comment ref="M4" authorId="0" shapeId="0">
      <text>
        <r>
          <rPr>
            <sz val="9"/>
            <rFont val="Tahoma"/>
            <family val="2"/>
          </rPr>
          <t>Consolidación Gobierno central (CG), Fondos de seguridad social (SSF), Gobiernos estatales (SG) y Gobiernos locales (LG)</t>
        </r>
      </text>
    </comment>
    <comment ref="H5" authorId="0" shapeId="0">
      <text>
        <r>
          <rPr>
            <sz val="9"/>
            <rFont val="Tahoma"/>
            <family val="2"/>
          </rPr>
          <t>Consolidación Presupuestario (BA) y Extrapresupuestario (EA)</t>
        </r>
      </text>
    </comment>
    <comment ref="C47" authorId="0" shapeId="0">
      <text>
        <r>
          <rPr>
            <sz val="9"/>
            <rFont val="Tahoma"/>
            <family val="2"/>
          </rPr>
          <t>Si existen datos en todas las categorías, los resultados para todas las fórmulas de verificación vertical serán cero</t>
        </r>
      </text>
    </comment>
  </commentList>
</comments>
</file>

<file path=xl/comments17.xml><?xml version="1.0" encoding="utf-8"?>
<comments xmlns="http://schemas.openxmlformats.org/spreadsheetml/2006/main">
  <authors>
    <author>MAlves</author>
  </authors>
  <commentList>
    <comment ref="M4" authorId="0" shapeId="0">
      <text>
        <r>
          <rPr>
            <sz val="9"/>
            <rFont val="Tahoma"/>
            <family val="2"/>
          </rPr>
          <t>Consolidación Gobierno central (CG), Fondos de seguridad social (SSF), Gobiernos estatales (SG) y Gobiernos locales (LG)</t>
        </r>
      </text>
    </comment>
    <comment ref="H5" authorId="0" shapeId="0">
      <text>
        <r>
          <rPr>
            <sz val="9"/>
            <rFont val="Tahoma"/>
            <family val="2"/>
          </rPr>
          <t>Consolidación Presupuestario (BA) y Extrapresupuestario (EA)</t>
        </r>
      </text>
    </comment>
    <comment ref="C8" authorId="0" shapeId="0">
      <text>
        <r>
          <rPr>
            <sz val="9"/>
            <rFont val="Tahoma"/>
            <family val="2"/>
          </rPr>
          <t>Variación en el patrimonio neto como resultado del total de otros flujos económicos (ganancias y pérdidas por tenencia más otras variaciones en el volumen de activos y pasivos.</t>
        </r>
      </text>
    </comment>
    <comment ref="C37" authorId="0" shapeId="0">
      <text>
        <r>
          <rPr>
            <sz val="9"/>
            <rFont val="Tahoma"/>
            <family val="2"/>
          </rPr>
          <t>Variación del patrimonio financiero neto como resultado de otros flujos económicos (ganancias/pérdidas por tenencia más otras variaciones en el volumen de activos y pasivos financieros.</t>
        </r>
      </text>
    </comment>
    <comment ref="C38" authorId="0" shapeId="0">
      <text>
        <r>
          <rPr>
            <sz val="9"/>
            <rFont val="Tahoma"/>
            <family val="2"/>
          </rPr>
          <t>Ce poste indique la valeur de tous les autres flux économiques de passifs hormis actions et parts de fonds d'investissement et produits financiers dérivés et options sur titres des salariés.</t>
        </r>
      </text>
    </comment>
    <comment ref="C39" authorId="0" shapeId="0">
      <text>
        <r>
          <rPr>
            <sz val="9"/>
            <rFont val="Tahoma"/>
            <family val="2"/>
          </rPr>
          <t>Les passsifs D3 sont les DTS, numéraire et dépôts, titres de créance, crédits et autres comptes à payer.</t>
        </r>
      </text>
    </comment>
    <comment ref="C40" authorId="0" shapeId="0">
      <text>
        <r>
          <rPr>
            <sz val="9"/>
            <rFont val="Tahoma"/>
            <family val="2"/>
          </rPr>
          <t>Les passsifs D2 sont les DTS, numéraire et dépôts, titres de créance et crédits.</t>
        </r>
      </text>
    </comment>
    <comment ref="C41" authorId="0" shapeId="0">
      <text>
        <r>
          <rPr>
            <sz val="9"/>
            <rFont val="Tahoma"/>
            <family val="2"/>
          </rPr>
          <t>Les passifs D1 sont les titres de créance et les crédits.</t>
        </r>
      </text>
    </comment>
    <comment ref="C43" authorId="0" shapeId="0">
      <text>
        <r>
          <rPr>
            <sz val="9"/>
            <rFont val="Tahoma"/>
            <family val="2"/>
          </rPr>
          <t>Si existen datos en todas las categorías, los resultados para todas las fórmulas de verificación vertical serán cero</t>
        </r>
      </text>
    </comment>
  </commentList>
</comments>
</file>

<file path=xl/comments18.xml><?xml version="1.0" encoding="utf-8"?>
<comments xmlns="http://schemas.openxmlformats.org/spreadsheetml/2006/main">
  <authors>
    <author>MAlves</author>
  </authors>
  <commentList>
    <comment ref="J2" authorId="0" shapeId="0">
      <text>
        <r>
          <rPr>
            <sz val="9"/>
            <rFont val="Tahoma"/>
            <family val="2"/>
          </rPr>
          <t>The purpose of these tables is to facilitate the consolidation process by ensuring consistency between payments of one unit and receipts of another. The main categories that need to be consolidated between the subsectors of general government are shown. Inflows are recorded in the columns (vertical) and outflows in the rows (horizontal). Total "receivable from" must equal total "payable to".</t>
        </r>
      </text>
    </comment>
  </commentList>
</comments>
</file>

<file path=xl/comments2.xml><?xml version="1.0" encoding="utf-8"?>
<comments xmlns="http://schemas.openxmlformats.org/spreadsheetml/2006/main">
  <authors>
    <author>MAlves</author>
  </authors>
  <commentList>
    <comment ref="L4" authorId="0" shapeId="0">
      <text>
        <r>
          <rPr>
            <sz val="9"/>
            <rFont val="Tahoma"/>
            <family val="2"/>
          </rPr>
          <t>Consolidación Gobierno central (CG), Fondos de seguridad social (FSS), Gobiernos estatales (SG) y Gobiernos locales (LG)</t>
        </r>
      </text>
    </comment>
    <comment ref="G5" authorId="0" shapeId="0">
      <text>
        <r>
          <rPr>
            <sz val="9"/>
            <rFont val="Tahoma"/>
            <family val="2"/>
          </rPr>
          <t>Consolidación Presupuestario (BA) y Extrapresupuestario (EA)</t>
        </r>
      </text>
    </comment>
    <comment ref="B23" authorId="0" shapeId="0">
      <text>
        <r>
          <rPr>
            <sz val="9"/>
            <rFont val="Tahoma"/>
            <family val="2"/>
          </rPr>
          <t>El resultado operativo neto solo debería calcularse si el consumo de capital fijo (23) tiene un valor distinto de cero. De lo contrario, solo debería calcularse el resultado operativo bruto.</t>
        </r>
      </text>
    </comment>
    <comment ref="B45" authorId="0" shapeId="0">
      <text>
        <r>
          <rPr>
            <sz val="9"/>
            <rFont val="Tahoma"/>
            <family val="2"/>
          </rPr>
          <t>Indicador del balance del gobierno utilizado para las deliberaciones de política. Si no está disponible para cada subsector, escriba el valor en el subsector más cercano. Esta partida solo se utilizará en las páginas de países del anuario EFP. Los cuadros mundiales, en los que se busca la comparabilidad internacional, reflejan las definiciones estándar.</t>
        </r>
      </text>
    </comment>
    <comment ref="B47" authorId="0" shapeId="0">
      <text>
        <r>
          <rPr>
            <sz val="9"/>
            <rFont val="Tahoma"/>
            <family val="2"/>
          </rPr>
          <t>Si existen datos en todas las categorías, los resultados para todas las fórmulas de verificación vertical serán cero.</t>
        </r>
      </text>
    </comment>
  </commentList>
</comments>
</file>

<file path=xl/comments3.xml><?xml version="1.0" encoding="utf-8"?>
<comments xmlns="http://schemas.openxmlformats.org/spreadsheetml/2006/main">
  <authors>
    <author>MAlves</author>
  </authors>
  <commentList>
    <comment ref="M4" authorId="0" shapeId="0">
      <text>
        <r>
          <rPr>
            <sz val="9"/>
            <rFont val="Tahoma"/>
            <family val="2"/>
          </rPr>
          <t>Consolidación Gobierno central (CG), Fondos de seguridad social (SSF), Gobiernos estatales (SG) y Gobiernos locales (LG)</t>
        </r>
      </text>
    </comment>
    <comment ref="H5" authorId="0" shapeId="0">
      <text>
        <r>
          <rPr>
            <sz val="9"/>
            <rFont val="Tahoma"/>
            <family val="2"/>
          </rPr>
          <t>Consolidación Presupuestario (BA) y Extrapresupuestario (EA)</t>
        </r>
      </text>
    </comment>
    <comment ref="C43" authorId="0" shapeId="0">
      <text>
        <r>
          <rPr>
            <sz val="9"/>
            <rFont val="Tahoma"/>
            <family val="2"/>
          </rPr>
          <t>Indicador del balance del gobierno utilizado para las deliberaciones de política. Si no está disponible para cada subsector, escriba el valor en el subsector más cercano. Esta partida solo se utilizará en las páginas de países del anuario EFP. Los cuadros mundiales, en los que se busca la comparabilidad internacional, reflejan las definiciones estándar.</t>
        </r>
      </text>
    </comment>
    <comment ref="C45" authorId="0" shapeId="0">
      <text>
        <r>
          <rPr>
            <sz val="9"/>
            <rFont val="Tahoma"/>
            <family val="2"/>
          </rPr>
          <t>Si existen datos en todas las categorías, los resultados para todas las fórmulas de verificación vertical serán cero.</t>
        </r>
      </text>
    </comment>
  </commentList>
</comments>
</file>

<file path=xl/comments4.xml><?xml version="1.0" encoding="utf-8"?>
<comments xmlns="http://schemas.openxmlformats.org/spreadsheetml/2006/main">
  <authors>
    <author>MAlves</author>
  </authors>
  <commentList>
    <comment ref="L4" authorId="0" shapeId="0">
      <text>
        <r>
          <rPr>
            <sz val="9"/>
            <rFont val="Tahoma"/>
            <family val="2"/>
          </rPr>
          <t>Consolidación Gobierno central (CG), Fondos de seguridad social (SSF), Gobiernos estatales (SG) y Gobiernos locales (LG)</t>
        </r>
      </text>
    </comment>
    <comment ref="G5" authorId="0" shapeId="0">
      <text>
        <r>
          <rPr>
            <sz val="9"/>
            <rFont val="Tahoma"/>
            <family val="2"/>
          </rPr>
          <t>Consolidación Presupuestario (BA) y Extrapresupuestario (EA)</t>
        </r>
      </text>
    </comment>
    <comment ref="B39" authorId="0" shapeId="0">
      <text>
        <r>
          <rPr>
            <sz val="9"/>
            <rFont val="Tahoma"/>
            <family val="2"/>
          </rPr>
          <t>Si existen datos en todas las categorías, los resultados para todas las fórmulas de verificación vertical serán cero.</t>
        </r>
      </text>
    </comment>
  </commentList>
</comments>
</file>

<file path=xl/comments5.xml><?xml version="1.0" encoding="utf-8"?>
<comments xmlns="http://schemas.openxmlformats.org/spreadsheetml/2006/main">
  <authors>
    <author>MAlves</author>
  </authors>
  <commentList>
    <comment ref="L4" authorId="0" shapeId="0">
      <text>
        <r>
          <rPr>
            <sz val="9"/>
            <rFont val="Tahoma"/>
            <family val="2"/>
          </rPr>
          <t>Consolidación Gobierno central (CG), Fondos de seguridad social (SSF), Gobiernos estatales (SG) y Gobiernos locales (LG)</t>
        </r>
      </text>
    </comment>
    <comment ref="G5" authorId="0" shapeId="0">
      <text>
        <r>
          <rPr>
            <sz val="9"/>
            <rFont val="Tahoma"/>
            <family val="2"/>
          </rPr>
          <t>Consolidación Presupuestario (BA) y Extrapresupuestario (EA)</t>
        </r>
      </text>
    </comment>
    <comment ref="B11" authorId="0" shapeId="0">
      <text>
        <r>
          <rPr>
            <sz val="9"/>
            <rFont val="Tahoma"/>
            <family val="2"/>
          </rPr>
          <t>El resultado operativo neto solo debería calcularse si el consumo de capital fijo (23) tiene un valor distinto de cero. De lo contrario, solo debería calcularse el resultado operativo bruto.</t>
        </r>
      </text>
    </comment>
    <comment ref="B27" authorId="0" shapeId="0">
      <text>
        <r>
          <rPr>
            <sz val="9"/>
            <rFont val="Tahoma"/>
            <family val="2"/>
          </rPr>
          <t>Si existen datos en todas las categorías, los resultados para todas las fórmulas de verificación vertical serán cero.</t>
        </r>
      </text>
    </comment>
  </commentList>
</comments>
</file>

<file path=xl/comments6.xml><?xml version="1.0" encoding="utf-8"?>
<comments xmlns="http://schemas.openxmlformats.org/spreadsheetml/2006/main">
  <authors>
    <author>MAlves</author>
  </authors>
  <commentList>
    <comment ref="M4" authorId="0" shapeId="0">
      <text>
        <r>
          <rPr>
            <sz val="9"/>
            <rFont val="Tahoma"/>
            <family val="2"/>
          </rPr>
          <t>Consolidación Gobierno central (CG), Fondos de seguridad social (SSF), Gobiernos estatales (SG) y Gobiernos locales (LG)</t>
        </r>
      </text>
    </comment>
    <comment ref="H5" authorId="0" shapeId="0">
      <text>
        <r>
          <rPr>
            <sz val="9"/>
            <rFont val="Tahoma"/>
            <family val="2"/>
          </rPr>
          <t>Consolidación Presupuestario (BA) y Extrapresupuestario (EA)</t>
        </r>
      </text>
    </comment>
    <comment ref="C116" authorId="0" shapeId="0">
      <text>
        <r>
          <rPr>
            <sz val="9"/>
            <rFont val="Tahoma"/>
            <family val="2"/>
          </rPr>
          <t>Si existen datos en todas las categorías, los resultados para todas las fórmulas de verificación vertical serán cero</t>
        </r>
      </text>
    </comment>
  </commentList>
</comments>
</file>

<file path=xl/comments7.xml><?xml version="1.0" encoding="utf-8"?>
<comments xmlns="http://schemas.openxmlformats.org/spreadsheetml/2006/main">
  <authors>
    <author>MAlves</author>
  </authors>
  <commentList>
    <comment ref="M4" authorId="0" shapeId="0">
      <text>
        <r>
          <rPr>
            <sz val="9"/>
            <rFont val="Tahoma"/>
            <family val="2"/>
          </rPr>
          <t>Consolidación Gobierno central (CG), Fondos de seguridad social (SSF), Gobiernos estatales (SG) y Gobiernos locales (LG)</t>
        </r>
      </text>
    </comment>
    <comment ref="H5" authorId="0" shapeId="0">
      <text>
        <r>
          <rPr>
            <sz val="9"/>
            <rFont val="Tahoma"/>
            <family val="2"/>
          </rPr>
          <t>Consolidación Presupuestario (BA) y Extrapresupuestario (EA)</t>
        </r>
      </text>
    </comment>
    <comment ref="C82" authorId="0" shapeId="0">
      <text>
        <r>
          <rPr>
            <sz val="9"/>
            <rFont val="Tahoma"/>
            <family val="2"/>
          </rPr>
          <t>Si existen datos en todas las categorías, los resultados para todas las fórmulas de verificación vertical serán cero</t>
        </r>
      </text>
    </comment>
  </commentList>
</comments>
</file>

<file path=xl/comments8.xml><?xml version="1.0" encoding="utf-8"?>
<comments xmlns="http://schemas.openxmlformats.org/spreadsheetml/2006/main">
  <authors>
    <author>MAlves</author>
  </authors>
  <commentList>
    <comment ref="M4" authorId="0" shapeId="0">
      <text>
        <r>
          <rPr>
            <sz val="9"/>
            <rFont val="Tahoma"/>
            <family val="2"/>
          </rPr>
          <t>Consolidación Gobierno central (CG), Fondos de seguridad social (SSF), Gobiernos estatales (SG) y Gobiernos locales (LG)</t>
        </r>
      </text>
    </comment>
    <comment ref="H5" authorId="0" shapeId="0">
      <text>
        <r>
          <rPr>
            <sz val="9"/>
            <rFont val="Tahoma"/>
            <family val="2"/>
          </rPr>
          <t>Consolidación Presupuestario (BA) y Extrapresupuestario (EA)</t>
        </r>
      </text>
    </comment>
    <comment ref="C8" authorId="0" shapeId="0">
      <text>
        <r>
          <rPr>
            <sz val="9"/>
            <rFont val="Tahoma"/>
            <family val="2"/>
          </rPr>
          <t>Variación en el patrimonio neto debido a transacciones en activos y pasivos.</t>
        </r>
      </text>
    </comment>
    <comment ref="C9" authorId="0" shapeId="0">
      <text>
        <r>
          <rPr>
            <sz val="9"/>
            <rFont val="Tahoma"/>
            <family val="2"/>
          </rPr>
          <t>Inversión neta en activos fijos, objetos de valor y activos no producidos igual a adquisiciones menos disposiciones y consumo de capital fijo.</t>
        </r>
      </text>
    </comment>
    <comment ref="C90" authorId="0" shapeId="0">
      <text>
        <r>
          <rPr>
            <sz val="9"/>
            <rFont val="Tahoma"/>
            <family val="2"/>
          </rPr>
          <t>Ce poste indique la valeur des charges incluses dans la construction d'actifs fixes pour compte propre des administrations.
(SFP poste 311)</t>
        </r>
      </text>
    </comment>
    <comment ref="C95" authorId="0" shapeId="0">
      <text>
        <r>
          <rPr>
            <sz val="9"/>
            <rFont val="Tahoma"/>
            <family val="2"/>
          </rPr>
          <t>Variación en el patrimonio financiero neto debido a transacciones en activos y pasivos financieros</t>
        </r>
      </text>
    </comment>
    <comment ref="C96" authorId="0" shapeId="0">
      <text>
        <r>
          <rPr>
            <sz val="9"/>
            <rFont val="Tahoma"/>
            <family val="2"/>
          </rPr>
          <t>Esta partida muestra el valor de todas las transacciones en pasivos, salvo "participaciones de capital y en fondos de inversión" y "derivados financieros y opciones de compra para empleados"</t>
        </r>
      </text>
    </comment>
    <comment ref="C97" authorId="0" shapeId="0">
      <text>
        <r>
          <rPr>
            <sz val="9"/>
            <rFont val="Tahoma"/>
            <family val="2"/>
          </rPr>
          <t>Los pasivos D3 son DEG, billetes y monedas y depósitos, títulos de deuda, préstamos y otras cuentas por pagar.</t>
        </r>
      </text>
    </comment>
    <comment ref="C98" authorId="0" shapeId="0">
      <text>
        <r>
          <rPr>
            <sz val="9"/>
            <rFont val="Tahoma"/>
            <family val="2"/>
          </rPr>
          <t>Los pasivos D2 son DEG, billetes, monedas y depósitos, títulos de deuda y préstamos.</t>
        </r>
      </text>
    </comment>
    <comment ref="C99" authorId="0" shapeId="0">
      <text>
        <r>
          <rPr>
            <sz val="9"/>
            <rFont val="Tahoma"/>
            <family val="2"/>
          </rPr>
          <t>Los pasivos D1 son títulos de deuda y préstamos.</t>
        </r>
      </text>
    </comment>
    <comment ref="C101" authorId="0" shapeId="0">
      <text>
        <r>
          <rPr>
            <sz val="9"/>
            <rFont val="Tahoma"/>
            <family val="2"/>
          </rPr>
          <t>Si existen datos en todas las categorías, los resultados para todas las fórmulas de verificación vertical serán cero</t>
        </r>
      </text>
    </comment>
  </commentList>
</comments>
</file>

<file path=xl/comments9.xml><?xml version="1.0" encoding="utf-8"?>
<comments xmlns="http://schemas.openxmlformats.org/spreadsheetml/2006/main">
  <authors>
    <author>MAlves</author>
  </authors>
  <commentList>
    <comment ref="M4" authorId="0" shapeId="0">
      <text>
        <r>
          <rPr>
            <sz val="9"/>
            <rFont val="Tahoma"/>
            <family val="2"/>
          </rPr>
          <t>Consolidación Gobierno central (CG), Fondos de seguridad social (SSF), Gobiernos estatales (SG) y Gobiernos locales (LG)</t>
        </r>
      </text>
    </comment>
    <comment ref="H5" authorId="0" shapeId="0">
      <text>
        <r>
          <rPr>
            <sz val="9"/>
            <rFont val="Tahoma"/>
            <family val="2"/>
          </rPr>
          <t>Consolidación Presupuestario (BA) y Extrapresupuestario (EA)</t>
        </r>
      </text>
    </comment>
    <comment ref="C8" authorId="0" shapeId="0">
      <text>
        <r>
          <rPr>
            <sz val="9"/>
            <rFont val="Tahoma"/>
            <family val="2"/>
          </rPr>
          <t>Variación en el patrimonio neto debido a ganancias y pérdidas por tenencia de activos y pasivos.</t>
        </r>
      </text>
    </comment>
    <comment ref="C37" authorId="0" shapeId="0">
      <text>
        <r>
          <rPr>
            <sz val="9"/>
            <rFont val="Tahoma"/>
            <family val="2"/>
          </rPr>
          <t>Variación en el patrimonio financiero neto como resultado de ganancias y pérdidas por tenencia de activos y pasivos</t>
        </r>
      </text>
    </comment>
    <comment ref="C38" authorId="0" shapeId="0">
      <text>
        <r>
          <rPr>
            <sz val="9"/>
            <rFont val="Tahoma"/>
            <family val="2"/>
          </rPr>
          <t>Ce poste indique la valeur de tous les gains de détention de passifs hormis actions et parts de fonds d'investissement et produits financiers dérivés et options sur titres des salariés.</t>
        </r>
      </text>
    </comment>
    <comment ref="C39" authorId="0" shapeId="0">
      <text>
        <r>
          <rPr>
            <sz val="9"/>
            <rFont val="Tahoma"/>
            <family val="2"/>
          </rPr>
          <t>Les passsifs D3 sont les DTS, numéraire et dépôts, titres de créance, crédits et autres comptes à payer.</t>
        </r>
      </text>
    </comment>
    <comment ref="C40" authorId="0" shapeId="0">
      <text>
        <r>
          <rPr>
            <sz val="9"/>
            <rFont val="Tahoma"/>
            <family val="2"/>
          </rPr>
          <t>Les passsifs D2 sont les DTS, numéraire et dépôts, titres de créance et crédits.</t>
        </r>
      </text>
    </comment>
    <comment ref="C41" authorId="0" shapeId="0">
      <text>
        <r>
          <rPr>
            <sz val="9"/>
            <rFont val="Tahoma"/>
            <family val="2"/>
          </rPr>
          <t>Les passifs D1 sont les titres de créance et les crédits.</t>
        </r>
      </text>
    </comment>
    <comment ref="C43" authorId="0" shapeId="0">
      <text>
        <r>
          <rPr>
            <sz val="9"/>
            <rFont val="Tahoma"/>
            <family val="2"/>
          </rPr>
          <t>Si existen datos en todas las categorías, los resultados para todas las fórmulas de verificación vertical serán cero</t>
        </r>
      </text>
    </comment>
  </commentList>
</comments>
</file>

<file path=xl/sharedStrings.xml><?xml version="1.0" encoding="utf-8"?>
<sst xmlns="http://schemas.openxmlformats.org/spreadsheetml/2006/main" count="8269" uniqueCount="3565">
  <si>
    <t>9=91+92-93 .............................................................................................................................................</t>
  </si>
  <si>
    <t>3M1</t>
  </si>
  <si>
    <t>3M11</t>
  </si>
  <si>
    <t>3M12</t>
  </si>
  <si>
    <t>3M13</t>
  </si>
  <si>
    <t>3M14</t>
  </si>
  <si>
    <t>6M4</t>
  </si>
  <si>
    <t>6M5</t>
  </si>
  <si>
    <t>6M6</t>
  </si>
  <si>
    <t>6M7</t>
  </si>
  <si>
    <t>6M8</t>
  </si>
  <si>
    <t>8</t>
  </si>
  <si>
    <t>9</t>
  </si>
  <si>
    <t>=1+2+3+4</t>
  </si>
  <si>
    <t>=5+6+7+8</t>
  </si>
  <si>
    <t>Total (loans from)</t>
  </si>
  <si>
    <t>STOCKS:</t>
  </si>
  <si>
    <t>2. Loans:</t>
  </si>
  <si>
    <t>NFB=-32x+33  ...................................................................................................................................................................................................</t>
  </si>
  <si>
    <t>TRANSACTIONS:</t>
  </si>
  <si>
    <t>1. Taxes</t>
  </si>
  <si>
    <t>Social security funds</t>
  </si>
  <si>
    <t>Central government</t>
  </si>
  <si>
    <t>State governments</t>
  </si>
  <si>
    <t>Local governments</t>
  </si>
  <si>
    <t>Total (payable)</t>
  </si>
  <si>
    <t>Total (receivable)</t>
  </si>
  <si>
    <t>2. Interest income/expense:</t>
  </si>
  <si>
    <t>3. Current grants:</t>
  </si>
  <si>
    <t>4. Capital grants:</t>
  </si>
  <si>
    <t>Total (held by)</t>
  </si>
  <si>
    <t>CIO</t>
  </si>
  <si>
    <t>CSD</t>
  </si>
  <si>
    <t>NCB</t>
  </si>
  <si>
    <t>6M35</t>
  </si>
  <si>
    <t>9M2</t>
  </si>
  <si>
    <t>9M3</t>
  </si>
  <si>
    <t>NOB</t>
  </si>
  <si>
    <t>NLB</t>
  </si>
  <si>
    <r>
      <t>CSD=1-2-</t>
    </r>
    <r>
      <rPr>
        <sz val="7.5"/>
        <color indexed="17"/>
        <rFont val="Arial"/>
        <family val="2"/>
      </rPr>
      <t>ADJ</t>
    </r>
    <r>
      <rPr>
        <sz val="7.5"/>
        <rFont val="Arial"/>
        <family val="2"/>
      </rPr>
      <t>-31 +</t>
    </r>
    <r>
      <rPr>
        <sz val="7.5"/>
        <color indexed="17"/>
        <rFont val="Arial"/>
        <family val="2"/>
      </rPr>
      <t xml:space="preserve">CSDz </t>
    </r>
    <r>
      <rPr>
        <sz val="7.5"/>
        <rFont val="Arial"/>
        <family val="2"/>
      </rPr>
      <t xml:space="preserve"> ...................................................................................................................................................................................</t>
    </r>
  </si>
  <si>
    <r>
      <t>31=311+312+313+314+</t>
    </r>
    <r>
      <rPr>
        <sz val="7"/>
        <color indexed="17"/>
        <rFont val="Arial"/>
        <family val="2"/>
      </rPr>
      <t>31z</t>
    </r>
    <r>
      <rPr>
        <sz val="7"/>
        <rFont val="Arial"/>
        <family val="2"/>
      </rPr>
      <t xml:space="preserve">  ....................................................................................................................................................................</t>
    </r>
  </si>
  <si>
    <r>
      <t>32=321+322+323+</t>
    </r>
    <r>
      <rPr>
        <sz val="7"/>
        <color indexed="17"/>
        <rFont val="Arial"/>
        <family val="2"/>
      </rPr>
      <t>32z</t>
    </r>
    <r>
      <rPr>
        <sz val="7"/>
        <rFont val="Arial"/>
        <family val="2"/>
      </rPr>
      <t xml:space="preserve">  ...........................................................................................................................................................................</t>
    </r>
  </si>
  <si>
    <r>
      <t>33=331+332+</t>
    </r>
    <r>
      <rPr>
        <sz val="7"/>
        <color indexed="17"/>
        <rFont val="Arial"/>
        <family val="2"/>
      </rPr>
      <t>33z</t>
    </r>
    <r>
      <rPr>
        <sz val="7"/>
        <rFont val="Arial"/>
        <family val="2"/>
      </rPr>
      <t xml:space="preserve">  ...............................................................................................................................................................................................</t>
    </r>
  </si>
  <si>
    <t>61=611+612+613+614  ....................................................................................................................................................................</t>
  </si>
  <si>
    <r>
      <t>2=21+22+24+25+26+27+28+</t>
    </r>
    <r>
      <rPr>
        <sz val="7"/>
        <color indexed="17"/>
        <rFont val="Arial"/>
        <family val="2"/>
      </rPr>
      <t>2z</t>
    </r>
    <r>
      <rPr>
        <sz val="7"/>
        <rFont val="Arial"/>
        <family val="2"/>
      </rPr>
      <t xml:space="preserve">  ............................................................................................................................................</t>
    </r>
  </si>
  <si>
    <t>Social Security Funds</t>
  </si>
  <si>
    <t xml:space="preserve">General Government </t>
  </si>
  <si>
    <t>GOB</t>
  </si>
  <si>
    <t xml:space="preserve"> </t>
  </si>
  <si>
    <t>63=631+632  ...............................................................................................................................................................................................</t>
  </si>
  <si>
    <t>7 = 2+31  ..........................................................................................................................................................................................</t>
  </si>
  <si>
    <t xml:space="preserve">    (i.e., Statement I is left empty).</t>
  </si>
  <si>
    <t>Interest vs Public Debt Transactions</t>
  </si>
  <si>
    <t>5=51+52-53  ...............................................................................................................................................................</t>
  </si>
  <si>
    <t>31 = Table 3:  31  ..................................................................................................................................................................</t>
  </si>
  <si>
    <t>Central Government 5</t>
  </si>
  <si>
    <t>General Government 9</t>
  </si>
  <si>
    <t>1</t>
  </si>
  <si>
    <t>2</t>
  </si>
  <si>
    <t>3</t>
  </si>
  <si>
    <t>4</t>
  </si>
  <si>
    <t>5</t>
  </si>
  <si>
    <t>6</t>
  </si>
  <si>
    <t>7</t>
  </si>
  <si>
    <r>
      <t>Overall=1-2-</t>
    </r>
    <r>
      <rPr>
        <sz val="7.5"/>
        <color indexed="17"/>
        <rFont val="Arial"/>
        <family val="2"/>
      </rPr>
      <t>ADJ</t>
    </r>
    <r>
      <rPr>
        <sz val="7.5"/>
        <rFont val="Arial"/>
        <family val="2"/>
      </rPr>
      <t>-31+</t>
    </r>
    <r>
      <rPr>
        <sz val="7.5"/>
        <color indexed="17"/>
        <rFont val="Arial"/>
        <family val="2"/>
      </rPr>
      <t>CSDz</t>
    </r>
    <r>
      <rPr>
        <sz val="7.5"/>
        <rFont val="Arial"/>
        <family val="2"/>
      </rPr>
      <t>+NFB-NCB  ........................................................................................................................................................</t>
    </r>
  </si>
  <si>
    <t>1 = Table 1:  1  ....................................................................................................................................................................................................</t>
  </si>
  <si>
    <t>3M2</t>
  </si>
  <si>
    <t>3M3</t>
  </si>
  <si>
    <t>4M2</t>
  </si>
  <si>
    <t>4M3</t>
  </si>
  <si>
    <t>5M2</t>
  </si>
  <si>
    <t>5M3</t>
  </si>
  <si>
    <t>6M2</t>
  </si>
  <si>
    <t>6M3</t>
  </si>
  <si>
    <t>Components:</t>
  </si>
  <si>
    <t>32 = Table 3:  32  ...............................................................................................................................................................</t>
  </si>
  <si>
    <t>Central Government</t>
  </si>
  <si>
    <t>State Governments</t>
  </si>
  <si>
    <t>Local Governments</t>
  </si>
  <si>
    <t>Consolidation Column</t>
  </si>
  <si>
    <t>(1)</t>
  </si>
  <si>
    <t>(2)</t>
  </si>
  <si>
    <t>(3)</t>
  </si>
  <si>
    <t>(4)</t>
  </si>
  <si>
    <t>(5)</t>
  </si>
  <si>
    <t>(6)</t>
  </si>
  <si>
    <t>(7)</t>
  </si>
  <si>
    <t>(8)</t>
  </si>
  <si>
    <t>(9)</t>
  </si>
  <si>
    <t>Budgetary</t>
  </si>
  <si>
    <t>Extrabudgetary</t>
  </si>
  <si>
    <t>Balancing items:</t>
  </si>
  <si>
    <t>6=61+62-63  ...............................................................................................................................................................</t>
  </si>
  <si>
    <t>62=621+622+623  ...........................................................................................................................................................................</t>
  </si>
  <si>
    <t>82 = Table 3: 32  ........................................................................................................................................</t>
  </si>
  <si>
    <r>
      <t>32x=321x+322x+323+</t>
    </r>
    <r>
      <rPr>
        <sz val="7"/>
        <color indexed="17"/>
        <rFont val="Arial"/>
        <family val="2"/>
      </rPr>
      <t>32z</t>
    </r>
    <r>
      <rPr>
        <sz val="7"/>
        <rFont val="Arial"/>
        <family val="2"/>
      </rPr>
      <t xml:space="preserve">  ...........................................................................................................................................................................</t>
    </r>
  </si>
  <si>
    <r>
      <t>NLB=1-2+</t>
    </r>
    <r>
      <rPr>
        <sz val="7.5"/>
        <color indexed="17"/>
        <rFont val="Arial"/>
        <family val="2"/>
      </rPr>
      <t>NOBz</t>
    </r>
    <r>
      <rPr>
        <sz val="7.5"/>
        <rFont val="Arial"/>
        <family val="2"/>
      </rPr>
      <t xml:space="preserve">-31 </t>
    </r>
    <r>
      <rPr>
        <sz val="7.5"/>
        <rFont val="Arial"/>
        <family val="2"/>
      </rPr>
      <t xml:space="preserve"> ...................................................................................................................................................................................</t>
    </r>
  </si>
  <si>
    <r>
      <t xml:space="preserve">VERTICAL AND HORIZONTAL CHECKS FOR </t>
    </r>
    <r>
      <rPr>
        <b/>
        <u/>
        <sz val="9"/>
        <color indexed="20"/>
        <rFont val="Arial"/>
        <family val="2"/>
      </rPr>
      <t>OTHER THAN CASH</t>
    </r>
    <r>
      <rPr>
        <b/>
        <sz val="9"/>
        <color indexed="10"/>
        <rFont val="Arial"/>
        <family val="2"/>
      </rPr>
      <t xml:space="preserve"> DATA </t>
    </r>
    <r>
      <rPr>
        <b/>
        <vertAlign val="superscript"/>
        <sz val="9"/>
        <color indexed="10"/>
        <rFont val="Arial"/>
        <family val="2"/>
      </rPr>
      <t>a/</t>
    </r>
  </si>
  <si>
    <r>
      <t xml:space="preserve">Horizontal checks </t>
    </r>
    <r>
      <rPr>
        <vertAlign val="superscript"/>
        <sz val="8"/>
        <rFont val="Arial"/>
        <family val="2"/>
      </rPr>
      <t>b/</t>
    </r>
  </si>
  <si>
    <r>
      <t xml:space="preserve">Statement I vs Detailed Tables </t>
    </r>
    <r>
      <rPr>
        <b/>
        <vertAlign val="superscript"/>
        <sz val="9"/>
        <rFont val="Arial"/>
        <family val="2"/>
      </rPr>
      <t>c/</t>
    </r>
    <r>
      <rPr>
        <b/>
        <sz val="7"/>
        <rFont val="Arial"/>
        <family val="2"/>
      </rPr>
      <t>:</t>
    </r>
  </si>
  <si>
    <t>a/  If data are available for all categories, the results for all the vertical/horizontal check formulas are zero.</t>
  </si>
  <si>
    <r>
      <t xml:space="preserve">b/ Read horizontal checks as follows:  In the descriptor column, e.g.,  NOB=1-2-NOBz, the horizontal check verifies whether </t>
    </r>
    <r>
      <rPr>
        <b/>
        <sz val="7"/>
        <rFont val="Arial"/>
        <family val="2"/>
      </rPr>
      <t>NOB</t>
    </r>
    <r>
      <rPr>
        <sz val="7"/>
        <rFont val="Arial"/>
        <family val="2"/>
      </rPr>
      <t xml:space="preserve"> for CG and GG is zero (i.e., ignore v-check formulas 1-2-NOBz for this purpose).</t>
    </r>
  </si>
  <si>
    <t>32x+NCB = Table 3:  32  ...............................................................................................................................................................</t>
  </si>
  <si>
    <t>33 = Table 3:  33  ...............................................................................................................................................................</t>
  </si>
  <si>
    <r>
      <t>1=11+12+13+14+</t>
    </r>
    <r>
      <rPr>
        <sz val="7"/>
        <color indexed="17"/>
        <rFont val="Arial"/>
        <family val="2"/>
      </rPr>
      <t>1z</t>
    </r>
    <r>
      <rPr>
        <sz val="7"/>
        <rFont val="Arial"/>
        <family val="2"/>
      </rPr>
      <t xml:space="preserve">  ..................................................................................................................................................................................</t>
    </r>
  </si>
  <si>
    <r>
      <t>2=21+22+23+24+25+26+27+28+</t>
    </r>
    <r>
      <rPr>
        <sz val="7"/>
        <color indexed="17"/>
        <rFont val="Arial"/>
        <family val="2"/>
      </rPr>
      <t>2z</t>
    </r>
    <r>
      <rPr>
        <sz val="7"/>
        <rFont val="Arial"/>
        <family val="2"/>
      </rPr>
      <t xml:space="preserve">  ............................................................................................................................................</t>
    </r>
  </si>
  <si>
    <t>STATEMENT OF SOURCES AND USES OF CASH and DETAILED TABLES</t>
  </si>
  <si>
    <r>
      <t>31.1=311.1+312.1+313.1+314.1+</t>
    </r>
    <r>
      <rPr>
        <sz val="7"/>
        <color indexed="17"/>
        <rFont val="Arial"/>
        <family val="2"/>
      </rPr>
      <t>31.1z</t>
    </r>
    <r>
      <rPr>
        <sz val="7"/>
        <rFont val="Arial"/>
        <family val="2"/>
      </rPr>
      <t xml:space="preserve">  ....................................................................................................................................................................</t>
    </r>
  </si>
  <si>
    <r>
      <t>31.2=311.2+312.2+313.2+314.2+</t>
    </r>
    <r>
      <rPr>
        <sz val="7"/>
        <color indexed="17"/>
        <rFont val="Arial"/>
        <family val="2"/>
      </rPr>
      <t>31.2z</t>
    </r>
    <r>
      <rPr>
        <sz val="7"/>
        <rFont val="Arial"/>
        <family val="2"/>
      </rPr>
      <t xml:space="preserve">  ....................................................................................................................................................................</t>
    </r>
  </si>
  <si>
    <r>
      <t>31=31.1+31.2+</t>
    </r>
    <r>
      <rPr>
        <sz val="7"/>
        <color indexed="17"/>
        <rFont val="Arial"/>
        <family val="2"/>
      </rPr>
      <t>31z</t>
    </r>
    <r>
      <rPr>
        <sz val="7"/>
        <rFont val="Arial"/>
        <family val="2"/>
      </rPr>
      <t xml:space="preserve">  ....................................................................................................................................................................</t>
    </r>
  </si>
  <si>
    <t>NCB = 3202 ...................................................................................................................</t>
  </si>
  <si>
    <r>
      <t>CIO=1-2-</t>
    </r>
    <r>
      <rPr>
        <sz val="7.5"/>
        <color indexed="17"/>
        <rFont val="Arial"/>
        <family val="2"/>
      </rPr>
      <t>ADJ</t>
    </r>
    <r>
      <rPr>
        <sz val="7.5"/>
        <rFont val="Arial"/>
        <family val="2"/>
      </rPr>
      <t xml:space="preserve">  ....................................................................................................................................................................................</t>
    </r>
  </si>
  <si>
    <r>
      <t xml:space="preserve">c/ These checks are </t>
    </r>
    <r>
      <rPr>
        <u/>
        <sz val="7"/>
        <rFont val="Arial"/>
        <family val="2"/>
      </rPr>
      <t>only valid</t>
    </r>
    <r>
      <rPr>
        <sz val="7"/>
        <rFont val="Arial"/>
        <family val="2"/>
      </rPr>
      <t xml:space="preserve"> if other than cash data are entered in the detailed tables. If only cash data are available, such data are entered in the detailed tables and summarized in Statement II</t>
    </r>
  </si>
  <si>
    <r>
      <t xml:space="preserve">VERTICAL AND HORIZONTAL CHECKS FOR </t>
    </r>
    <r>
      <rPr>
        <b/>
        <u/>
        <sz val="9"/>
        <color indexed="57"/>
        <rFont val="Arial"/>
        <family val="2"/>
      </rPr>
      <t>CASH</t>
    </r>
    <r>
      <rPr>
        <b/>
        <sz val="9"/>
        <color indexed="14"/>
        <rFont val="Arial"/>
        <family val="2"/>
      </rPr>
      <t xml:space="preserve"> DATA </t>
    </r>
    <r>
      <rPr>
        <b/>
        <vertAlign val="superscript"/>
        <sz val="9"/>
        <color indexed="14"/>
        <rFont val="Arial"/>
        <family val="2"/>
      </rPr>
      <t>a/</t>
    </r>
  </si>
  <si>
    <t>General Government</t>
  </si>
  <si>
    <r>
      <t xml:space="preserve">Statement II vs Detailed Tables </t>
    </r>
    <r>
      <rPr>
        <b/>
        <vertAlign val="superscript"/>
        <sz val="9"/>
        <rFont val="Arial"/>
        <family val="2"/>
      </rPr>
      <t>c/</t>
    </r>
    <r>
      <rPr>
        <b/>
        <sz val="7"/>
        <rFont val="Arial"/>
        <family val="2"/>
      </rPr>
      <t>:</t>
    </r>
  </si>
  <si>
    <r>
      <t xml:space="preserve">c/ These checks are </t>
    </r>
    <r>
      <rPr>
        <u/>
        <sz val="7"/>
        <rFont val="Arial"/>
        <family val="2"/>
      </rPr>
      <t>only valid</t>
    </r>
    <r>
      <rPr>
        <sz val="7"/>
        <rFont val="Arial"/>
        <family val="2"/>
      </rPr>
      <t xml:space="preserve"> if cash data are entered in the detailed tables, i.e., only cash data are available. If other than cash data are available, such data are entered in the detailed tables and </t>
    </r>
  </si>
  <si>
    <r>
      <t xml:space="preserve">b/ Read horizontal checks as follows:  In the descriptor column, e.g.,  CIO=1-2-ADJ, the horizontal check verifies whether </t>
    </r>
    <r>
      <rPr>
        <b/>
        <sz val="7"/>
        <rFont val="Arial"/>
        <family val="2"/>
      </rPr>
      <t>CIO</t>
    </r>
    <r>
      <rPr>
        <sz val="7"/>
        <rFont val="Arial"/>
        <family val="2"/>
      </rPr>
      <t xml:space="preserve"> for CG and GG is zero (i.e., ignore v-check formulas 1-2-ADJ for this purpose).</t>
    </r>
  </si>
  <si>
    <t>2 = Table 2:  2  ...................................................................................................................................................................................</t>
  </si>
  <si>
    <t>NCB=CSD+NFB  .........................................................................................................................</t>
  </si>
  <si>
    <t>c/  If data are available for all categories, the results for all the vertical check formulas are zero.</t>
  </si>
  <si>
    <t>STATEMENT OF GOVERNMENT OPERATIONS and DETAILED TABLES</t>
  </si>
  <si>
    <t>3=31+32-33 ...............................................................................................................................................................</t>
  </si>
  <si>
    <t>4=41+42-43  ...............................................................................................................................................................</t>
  </si>
  <si>
    <r>
      <t xml:space="preserve">d/  This check does not apply to historical GFS data converted from GFSM1986 format, where 7=2+31.1 (i.e., </t>
    </r>
    <r>
      <rPr>
        <i/>
        <sz val="7.5"/>
        <rFont val="Arial"/>
        <family val="2"/>
      </rPr>
      <t>GFSM 1986</t>
    </r>
    <r>
      <rPr>
        <sz val="7.5"/>
        <rFont val="Arial"/>
        <family val="2"/>
      </rPr>
      <t xml:space="preserve"> "expenditure" = expense + gross acquisition of nonfinancial assets).</t>
    </r>
  </si>
  <si>
    <t>NLB = Table 3: 3M2 ..................................................................................................................</t>
  </si>
  <si>
    <t>821 = Table 3: 321 .................................................................................................</t>
  </si>
  <si>
    <t>822 = Table 3: 322 .................................................................................................</t>
  </si>
  <si>
    <t>823 = Table 3: 323 .................................................................................................</t>
  </si>
  <si>
    <t>831 = Table 3: 331  ........................................................................................................................................</t>
  </si>
  <si>
    <t>832 = Table 3: 332  ........................................................................................................................................</t>
  </si>
  <si>
    <r>
      <t>Overall=0=1-2+</t>
    </r>
    <r>
      <rPr>
        <sz val="7.5"/>
        <color indexed="17"/>
        <rFont val="Arial"/>
        <family val="2"/>
      </rPr>
      <t>NOBz</t>
    </r>
    <r>
      <rPr>
        <sz val="7.5"/>
        <rFont val="Arial"/>
        <family val="2"/>
      </rPr>
      <t>-31-32+33+</t>
    </r>
    <r>
      <rPr>
        <sz val="7.5"/>
        <color indexed="17"/>
        <rFont val="Arial"/>
        <family val="2"/>
      </rPr>
      <t>NLBz</t>
    </r>
    <r>
      <rPr>
        <sz val="7.5"/>
        <rFont val="Arial"/>
        <family val="2"/>
      </rPr>
      <t xml:space="preserve">  ........................................................................................................................................................</t>
    </r>
  </si>
  <si>
    <t>83 = Table 3: 33  ........................................................................................................................................</t>
  </si>
  <si>
    <t>Other:</t>
  </si>
  <si>
    <t>7=2+31  ....................................................................................................................................................................................................................</t>
  </si>
  <si>
    <r>
      <t xml:space="preserve">Total outlays = Expense + Net acquisition of NFAs </t>
    </r>
    <r>
      <rPr>
        <b/>
        <vertAlign val="superscript"/>
        <sz val="9"/>
        <rFont val="Arial"/>
        <family val="2"/>
      </rPr>
      <t>d/</t>
    </r>
    <r>
      <rPr>
        <b/>
        <sz val="7.5"/>
        <rFont val="Arial"/>
        <family val="2"/>
      </rPr>
      <t>:</t>
    </r>
  </si>
  <si>
    <r>
      <t>GOB=1-2+23+</t>
    </r>
    <r>
      <rPr>
        <sz val="7.5"/>
        <color indexed="17"/>
        <rFont val="Arial"/>
        <family val="2"/>
      </rPr>
      <t>NOBz</t>
    </r>
    <r>
      <rPr>
        <sz val="7.5"/>
        <rFont val="Arial"/>
        <family val="2"/>
      </rPr>
      <t xml:space="preserve">  .................................................................................................................................</t>
    </r>
  </si>
  <si>
    <r>
      <t>NOB=1-2+</t>
    </r>
    <r>
      <rPr>
        <sz val="7.5"/>
        <color indexed="17"/>
        <rFont val="Arial"/>
        <family val="2"/>
      </rPr>
      <t>NOBz</t>
    </r>
    <r>
      <rPr>
        <sz val="7.5"/>
        <rFont val="Arial"/>
        <family val="2"/>
      </rPr>
      <t xml:space="preserve">  ....................................................................................................................................................................................</t>
    </r>
  </si>
  <si>
    <t>322x</t>
  </si>
  <si>
    <r>
      <t xml:space="preserve">NOB = Table 3:  3 + </t>
    </r>
    <r>
      <rPr>
        <sz val="7"/>
        <color indexed="17"/>
        <rFont val="Arial"/>
        <family val="2"/>
      </rPr>
      <t>NLBz</t>
    </r>
    <r>
      <rPr>
        <sz val="7"/>
        <rFont val="Arial"/>
        <family val="2"/>
      </rPr>
      <t xml:space="preserve">  .........................................................................................................................................................................</t>
    </r>
  </si>
  <si>
    <t>CSD = Table 3: 3M2 .......................................................................................................</t>
  </si>
  <si>
    <t xml:space="preserve">     summarized in Statement I, while Statement II will show their corresponding cash flows.</t>
  </si>
  <si>
    <t>Central Government (5)</t>
  </si>
  <si>
    <t>=(1)+(2)+(3)+(4)</t>
  </si>
  <si>
    <t>General Government (9)</t>
  </si>
  <si>
    <t>=(5)+(6)+(7)+(8)</t>
  </si>
  <si>
    <t>3201</t>
  </si>
  <si>
    <t>3221</t>
  </si>
  <si>
    <t>4201</t>
  </si>
  <si>
    <t>5201</t>
  </si>
  <si>
    <t>6201</t>
  </si>
  <si>
    <t>6221</t>
  </si>
  <si>
    <t>9201</t>
  </si>
  <si>
    <t>Rule 1: Consolidation should not affect balances</t>
  </si>
  <si>
    <t>This means that the consolidation columns should be zero for the following items:</t>
  </si>
  <si>
    <t>CC</t>
  </si>
  <si>
    <t>CT</t>
  </si>
  <si>
    <t>Statement I</t>
  </si>
  <si>
    <t>31</t>
  </si>
  <si>
    <t>32-33</t>
  </si>
  <si>
    <t>Statement II</t>
  </si>
  <si>
    <t>Table 3</t>
  </si>
  <si>
    <t>Table 4</t>
  </si>
  <si>
    <t>41</t>
  </si>
  <si>
    <t>42-43</t>
  </si>
  <si>
    <t>Table 5</t>
  </si>
  <si>
    <t>51</t>
  </si>
  <si>
    <t>52-53</t>
  </si>
  <si>
    <t>Table 6</t>
  </si>
  <si>
    <t>61</t>
  </si>
  <si>
    <t>62-63</t>
  </si>
  <si>
    <t>Table 8</t>
  </si>
  <si>
    <t>82-83</t>
  </si>
  <si>
    <t>Table 9</t>
  </si>
  <si>
    <t>91</t>
  </si>
  <si>
    <t>92-93</t>
  </si>
  <si>
    <t>Rule 2: Items exclusive to intra general government relationships should be fully consolidated</t>
  </si>
  <si>
    <t>This means that the general government column should be zero for the following items:</t>
  </si>
  <si>
    <t>Table 1</t>
  </si>
  <si>
    <t>133</t>
  </si>
  <si>
    <t>1331</t>
  </si>
  <si>
    <t>1332</t>
  </si>
  <si>
    <t>Table 2</t>
  </si>
  <si>
    <t>243</t>
  </si>
  <si>
    <t>263</t>
  </si>
  <si>
    <t>2631</t>
  </si>
  <si>
    <t>2632</t>
  </si>
  <si>
    <t>Table 7</t>
  </si>
  <si>
    <t>7018</t>
  </si>
  <si>
    <t>8211</t>
  </si>
  <si>
    <t>8311</t>
  </si>
  <si>
    <t>Rule 3: Items exclusive to relationships with non government units should not be consolidated</t>
  </si>
  <si>
    <t>12</t>
  </si>
  <si>
    <t>21</t>
  </si>
  <si>
    <t>25</t>
  </si>
  <si>
    <t>27</t>
  </si>
  <si>
    <t>322</t>
  </si>
  <si>
    <t>332</t>
  </si>
  <si>
    <t>111x</t>
  </si>
  <si>
    <t>12x</t>
  </si>
  <si>
    <t>131/2</t>
  </si>
  <si>
    <t>1412</t>
  </si>
  <si>
    <t>1413</t>
  </si>
  <si>
    <t>1414</t>
  </si>
  <si>
    <t>144x</t>
  </si>
  <si>
    <t>21x</t>
  </si>
  <si>
    <t>241</t>
  </si>
  <si>
    <t>242</t>
  </si>
  <si>
    <t>25x</t>
  </si>
  <si>
    <t>261/2</t>
  </si>
  <si>
    <t>27x</t>
  </si>
  <si>
    <t>31x.0</t>
  </si>
  <si>
    <t>332x</t>
  </si>
  <si>
    <t>41x</t>
  </si>
  <si>
    <t>422x</t>
  </si>
  <si>
    <t>432x</t>
  </si>
  <si>
    <t>51x</t>
  </si>
  <si>
    <t>522x</t>
  </si>
  <si>
    <t>532x</t>
  </si>
  <si>
    <t>61x</t>
  </si>
  <si>
    <t>622x</t>
  </si>
  <si>
    <t>632x</t>
  </si>
  <si>
    <t>821x'</t>
  </si>
  <si>
    <t>822x</t>
  </si>
  <si>
    <t>831x'</t>
  </si>
  <si>
    <t>832x</t>
  </si>
  <si>
    <t>91x</t>
  </si>
  <si>
    <t>922x</t>
  </si>
  <si>
    <t>932x</t>
  </si>
  <si>
    <t>Rule 4: Consolidated amounts should be the same for both sides of the operation</t>
  </si>
  <si>
    <t>This means that the consolidation columns should show the same value for the following pairs of items:</t>
  </si>
  <si>
    <t>Table 1 vs. Table 2</t>
  </si>
  <si>
    <t>142 - 22</t>
  </si>
  <si>
    <t>1411 - 243</t>
  </si>
  <si>
    <t>1415 - 281</t>
  </si>
  <si>
    <t>133 - 263</t>
  </si>
  <si>
    <t>1331 - 2631</t>
  </si>
  <si>
    <t>1332 - 2632</t>
  </si>
  <si>
    <t>Other revenue items -  282</t>
  </si>
  <si>
    <t>3212 - 3312</t>
  </si>
  <si>
    <t>3213 - 3313</t>
  </si>
  <si>
    <t>3214 - 3314</t>
  </si>
  <si>
    <t>3215 - 3315</t>
  </si>
  <si>
    <t>3216 - 3316</t>
  </si>
  <si>
    <t>3217 - 3317</t>
  </si>
  <si>
    <t>3218 - 3318</t>
  </si>
  <si>
    <t>4212 - 4312</t>
  </si>
  <si>
    <t>4213 - 4313</t>
  </si>
  <si>
    <t>4214 - 4314</t>
  </si>
  <si>
    <t>4215 - 4315</t>
  </si>
  <si>
    <t>4216 - 4316</t>
  </si>
  <si>
    <t>4217 - 4317</t>
  </si>
  <si>
    <t>4218 - 4318</t>
  </si>
  <si>
    <t>5212 - 5312</t>
  </si>
  <si>
    <t>5213 - 5313</t>
  </si>
  <si>
    <t>5214 - 5314</t>
  </si>
  <si>
    <t>5215 - 5315</t>
  </si>
  <si>
    <t>5216 - 5316</t>
  </si>
  <si>
    <t>5217 - 5317</t>
  </si>
  <si>
    <t>5218 - 5318</t>
  </si>
  <si>
    <t>6212 - 6312</t>
  </si>
  <si>
    <t>6213 - 6313</t>
  </si>
  <si>
    <t>6214 - 6314</t>
  </si>
  <si>
    <t>6215 - 6315</t>
  </si>
  <si>
    <t>6216 - 6316</t>
  </si>
  <si>
    <t>6217 - 6317</t>
  </si>
  <si>
    <t>6218 - 6318</t>
  </si>
  <si>
    <t>8211 -8311</t>
  </si>
  <si>
    <t>9212 - 9312</t>
  </si>
  <si>
    <t>9213 - 9313</t>
  </si>
  <si>
    <t>9214 - 9314</t>
  </si>
  <si>
    <t>9215 - 9315</t>
  </si>
  <si>
    <t>9216 - 9316</t>
  </si>
  <si>
    <t>9217 - 9317</t>
  </si>
  <si>
    <t>9218 - 9318</t>
  </si>
  <si>
    <t>NLBz</t>
  </si>
  <si>
    <t>Transactions (net) ....................................................................................................................................................</t>
  </si>
  <si>
    <t>NFAz</t>
  </si>
  <si>
    <t>FAz</t>
  </si>
  <si>
    <t>Lz</t>
  </si>
  <si>
    <t>6M2z</t>
  </si>
  <si>
    <t>From budgetary central government .............................................................................................................................</t>
  </si>
  <si>
    <t>From social security funds .............................................................................................................................</t>
  </si>
  <si>
    <t>From state governments .............................................................................................................................</t>
  </si>
  <si>
    <t>From local governments .............................................................................................................................</t>
  </si>
  <si>
    <t>14111</t>
  </si>
  <si>
    <t>14112</t>
  </si>
  <si>
    <t>14113</t>
  </si>
  <si>
    <t>14411</t>
  </si>
  <si>
    <t>14412</t>
  </si>
  <si>
    <t>To budgetary central government .............................................................................................................................</t>
  </si>
  <si>
    <t>To social security funds .............................................................................................................................</t>
  </si>
  <si>
    <t>To state governments .............................................................................................................................</t>
  </si>
  <si>
    <t>To local governments .............................................................................................................................</t>
  </si>
  <si>
    <t>To extrabudgetary central government .............................................................................................................................</t>
  </si>
  <si>
    <t>From extrabudgetary central government .............................................................................................................................</t>
  </si>
  <si>
    <t>2811</t>
  </si>
  <si>
    <t>2812</t>
  </si>
  <si>
    <t>2813</t>
  </si>
  <si>
    <t>2814</t>
  </si>
  <si>
    <t>2815</t>
  </si>
  <si>
    <t>14511</t>
  </si>
  <si>
    <t>14512</t>
  </si>
  <si>
    <t>14513</t>
  </si>
  <si>
    <t>283</t>
  </si>
  <si>
    <t>2831</t>
  </si>
  <si>
    <t>28311</t>
  </si>
  <si>
    <t>28312</t>
  </si>
  <si>
    <t>28313</t>
  </si>
  <si>
    <t>2832</t>
  </si>
  <si>
    <t>7z</t>
  </si>
  <si>
    <t>7011</t>
  </si>
  <si>
    <t>7012</t>
  </si>
  <si>
    <t>7013</t>
  </si>
  <si>
    <t>7014</t>
  </si>
  <si>
    <t>7015</t>
  </si>
  <si>
    <t>7016</t>
  </si>
  <si>
    <t>7021</t>
  </si>
  <si>
    <t>7022</t>
  </si>
  <si>
    <t>7023</t>
  </si>
  <si>
    <t>7024</t>
  </si>
  <si>
    <t>7025</t>
  </si>
  <si>
    <t>7031</t>
  </si>
  <si>
    <t>7032</t>
  </si>
  <si>
    <t>7033</t>
  </si>
  <si>
    <t>7034</t>
  </si>
  <si>
    <t>7035</t>
  </si>
  <si>
    <t>7036</t>
  </si>
  <si>
    <t>7041</t>
  </si>
  <si>
    <t>7047</t>
  </si>
  <si>
    <t>7048</t>
  </si>
  <si>
    <t>7049</t>
  </si>
  <si>
    <t>7051</t>
  </si>
  <si>
    <t>7052</t>
  </si>
  <si>
    <t>7053</t>
  </si>
  <si>
    <t>7054</t>
  </si>
  <si>
    <t>7055</t>
  </si>
  <si>
    <t>7056</t>
  </si>
  <si>
    <t>7061</t>
  </si>
  <si>
    <t>7062</t>
  </si>
  <si>
    <t>7063</t>
  </si>
  <si>
    <t>7064</t>
  </si>
  <si>
    <t>7065</t>
  </si>
  <si>
    <t>7066</t>
  </si>
  <si>
    <t>7071</t>
  </si>
  <si>
    <t>7075</t>
  </si>
  <si>
    <t>7076</t>
  </si>
  <si>
    <t>7081</t>
  </si>
  <si>
    <t>7082</t>
  </si>
  <si>
    <t>7083</t>
  </si>
  <si>
    <t>7084</t>
  </si>
  <si>
    <t>7085</t>
  </si>
  <si>
    <t>7086</t>
  </si>
  <si>
    <t>7095</t>
  </si>
  <si>
    <t>7096</t>
  </si>
  <si>
    <t>7097</t>
  </si>
  <si>
    <t>7098</t>
  </si>
  <si>
    <t>7093</t>
  </si>
  <si>
    <t>7101</t>
  </si>
  <si>
    <t>7102</t>
  </si>
  <si>
    <t>7103</t>
  </si>
  <si>
    <t>7104</t>
  </si>
  <si>
    <t>7105</t>
  </si>
  <si>
    <t>7106</t>
  </si>
  <si>
    <t>7107</t>
  </si>
  <si>
    <t>7108</t>
  </si>
  <si>
    <t>7109</t>
  </si>
  <si>
    <r>
      <t>701=7011+...+7018</t>
    </r>
    <r>
      <rPr>
        <sz val="7.5"/>
        <rFont val="Arial"/>
        <family val="2"/>
      </rPr>
      <t xml:space="preserve">  ....................................................................................................</t>
    </r>
  </si>
  <si>
    <t>702=7021+...+7025  ....................................................................................................</t>
  </si>
  <si>
    <t>703=7031+...+7036  ....................................................................................................</t>
  </si>
  <si>
    <t>704=7041+...+7049  ....................................................................................................</t>
  </si>
  <si>
    <t>705=7051+...+7056  ....................................................................................................</t>
  </si>
  <si>
    <t>706=7061+...+7066  ....................................................................................................</t>
  </si>
  <si>
    <t>707=7071+...+7076  ....................................................................................................</t>
  </si>
  <si>
    <t>708=7081+...+7086  ....................................................................................................</t>
  </si>
  <si>
    <t>709=7091+...+7098  ....................................................................................................</t>
  </si>
  <si>
    <t>710=7101+...+7109  ....................................................................................................</t>
  </si>
  <si>
    <t>7017 = Table 2: 24  ............................................................................................................................................</t>
  </si>
  <si>
    <t>GB</t>
  </si>
  <si>
    <t>6M36</t>
  </si>
  <si>
    <t>6M391</t>
  </si>
  <si>
    <t>6M392</t>
  </si>
  <si>
    <t>6M61</t>
  </si>
  <si>
    <t>6M81</t>
  </si>
  <si>
    <t>2M</t>
  </si>
  <si>
    <t>C1</t>
  </si>
  <si>
    <t>C11</t>
  </si>
  <si>
    <t>C12</t>
  </si>
  <si>
    <t>C13</t>
  </si>
  <si>
    <t>C14</t>
  </si>
  <si>
    <t>C2</t>
  </si>
  <si>
    <t>C21</t>
  </si>
  <si>
    <t>C22</t>
  </si>
  <si>
    <t>C24</t>
  </si>
  <si>
    <t>C25</t>
  </si>
  <si>
    <t>C26</t>
  </si>
  <si>
    <t>C27</t>
  </si>
  <si>
    <t>C28</t>
  </si>
  <si>
    <t>C31</t>
  </si>
  <si>
    <t>C311</t>
  </si>
  <si>
    <t>C312</t>
  </si>
  <si>
    <t>C313</t>
  </si>
  <si>
    <t>C314</t>
  </si>
  <si>
    <t>C2M</t>
  </si>
  <si>
    <t>C32x</t>
  </si>
  <si>
    <t>C321x</t>
  </si>
  <si>
    <t>C322x</t>
  </si>
  <si>
    <t>C33</t>
  </si>
  <si>
    <t>C331</t>
  </si>
  <si>
    <t>C332</t>
  </si>
  <si>
    <t>NFB</t>
  </si>
  <si>
    <t>CSDz</t>
  </si>
  <si>
    <t>2M27A</t>
  </si>
  <si>
    <t>2M27B</t>
  </si>
  <si>
    <t>1M13A</t>
  </si>
  <si>
    <t>1M13B</t>
  </si>
  <si>
    <t>31x.1</t>
  </si>
  <si>
    <t>31x.2</t>
  </si>
  <si>
    <t>6301N</t>
  </si>
  <si>
    <t>6301NA1</t>
  </si>
  <si>
    <t>6301NA2</t>
  </si>
  <si>
    <t>6301NB1</t>
  </si>
  <si>
    <t>6301NB2</t>
  </si>
  <si>
    <t>6301NB3</t>
  </si>
  <si>
    <t>6301NC1</t>
  </si>
  <si>
    <t>6301NC2</t>
  </si>
  <si>
    <t>6301ND1</t>
  </si>
  <si>
    <t>6301ND2</t>
  </si>
  <si>
    <t>6302N</t>
  </si>
  <si>
    <t>6302NA1</t>
  </si>
  <si>
    <t>6302NA2</t>
  </si>
  <si>
    <t>6302NB1</t>
  </si>
  <si>
    <t>6302NB2</t>
  </si>
  <si>
    <t>6302NB3</t>
  </si>
  <si>
    <t>6302NC1</t>
  </si>
  <si>
    <t>6302NC2</t>
  </si>
  <si>
    <t>6302ND1</t>
  </si>
  <si>
    <t>6302ND2</t>
  </si>
  <si>
    <t>6303N</t>
  </si>
  <si>
    <t>6303NA1</t>
  </si>
  <si>
    <t>6303NA2</t>
  </si>
  <si>
    <t>6303NB1</t>
  </si>
  <si>
    <t>6303NB2</t>
  </si>
  <si>
    <t>6303NB3</t>
  </si>
  <si>
    <t>6303NC1</t>
  </si>
  <si>
    <t>6303NC2</t>
  </si>
  <si>
    <t>6303ND1</t>
  </si>
  <si>
    <t>6303ND2</t>
  </si>
  <si>
    <t>6303M</t>
  </si>
  <si>
    <t>6303MA1</t>
  </si>
  <si>
    <t>6303MA2</t>
  </si>
  <si>
    <t>6303MB1</t>
  </si>
  <si>
    <t>6303MB2</t>
  </si>
  <si>
    <t>6303MB3</t>
  </si>
  <si>
    <t>6303MC1</t>
  </si>
  <si>
    <t>6303MC2</t>
  </si>
  <si>
    <t>6303MD1</t>
  </si>
  <si>
    <t>6303MD2</t>
  </si>
  <si>
    <t>6304N</t>
  </si>
  <si>
    <t>6304NA1</t>
  </si>
  <si>
    <t>6304NA2</t>
  </si>
  <si>
    <t>6304NB1</t>
  </si>
  <si>
    <t>6304NB2</t>
  </si>
  <si>
    <t>6304NB3</t>
  </si>
  <si>
    <t>6304NC1</t>
  </si>
  <si>
    <t>6304NC2</t>
  </si>
  <si>
    <t>6304ND1</t>
  </si>
  <si>
    <t>6304ND2</t>
  </si>
  <si>
    <t>6306N</t>
  </si>
  <si>
    <t>6306NA1</t>
  </si>
  <si>
    <t>6306NA2</t>
  </si>
  <si>
    <t>6306NB1</t>
  </si>
  <si>
    <t>6306NB2</t>
  </si>
  <si>
    <t>6306NB3</t>
  </si>
  <si>
    <t>6306NC1</t>
  </si>
  <si>
    <t>6306NC2</t>
  </si>
  <si>
    <t>6306ND1</t>
  </si>
  <si>
    <t>6306ND2</t>
  </si>
  <si>
    <t>6308N</t>
  </si>
  <si>
    <t>6308NA1</t>
  </si>
  <si>
    <t>6308NA2</t>
  </si>
  <si>
    <t>6308NB1</t>
  </si>
  <si>
    <t>6308NB2</t>
  </si>
  <si>
    <t>6308NB3</t>
  </si>
  <si>
    <t>6308NC1</t>
  </si>
  <si>
    <t>6308NC2</t>
  </si>
  <si>
    <t>6308ND1</t>
  </si>
  <si>
    <t>6308ND2</t>
  </si>
  <si>
    <t>6301F</t>
  </si>
  <si>
    <t>6301FA1</t>
  </si>
  <si>
    <t>6301FA2</t>
  </si>
  <si>
    <t>6301FB1</t>
  </si>
  <si>
    <t>6301FB2</t>
  </si>
  <si>
    <t>6301FB3</t>
  </si>
  <si>
    <t>6301FC1</t>
  </si>
  <si>
    <t>6301FC2</t>
  </si>
  <si>
    <t>6301FD1</t>
  </si>
  <si>
    <t>6301FD2</t>
  </si>
  <si>
    <t>6302F</t>
  </si>
  <si>
    <t>6302FA1</t>
  </si>
  <si>
    <t>6302FA2</t>
  </si>
  <si>
    <t>6302FB1</t>
  </si>
  <si>
    <t>6302FB2</t>
  </si>
  <si>
    <t>6302FB3</t>
  </si>
  <si>
    <t>6302FC1</t>
  </si>
  <si>
    <t>6302FC2</t>
  </si>
  <si>
    <t>6302FD1</t>
  </si>
  <si>
    <t>6302FD2</t>
  </si>
  <si>
    <t>6303F</t>
  </si>
  <si>
    <t>6303FA1</t>
  </si>
  <si>
    <t>6303FA2</t>
  </si>
  <si>
    <t>6303FB1</t>
  </si>
  <si>
    <t>6303FB2</t>
  </si>
  <si>
    <t>6303FB3</t>
  </si>
  <si>
    <t>6303FC1</t>
  </si>
  <si>
    <t>6303FC2</t>
  </si>
  <si>
    <t>6303FD1</t>
  </si>
  <si>
    <t>6303FD2</t>
  </si>
  <si>
    <t>6304F</t>
  </si>
  <si>
    <t>6304FA1</t>
  </si>
  <si>
    <t>6304FA2</t>
  </si>
  <si>
    <t>6304FB1</t>
  </si>
  <si>
    <t>6304FB2</t>
  </si>
  <si>
    <t>6304FB3</t>
  </si>
  <si>
    <t>6304FC1</t>
  </si>
  <si>
    <t>6304FC2</t>
  </si>
  <si>
    <t>6304FD1</t>
  </si>
  <si>
    <t>6304FD2</t>
  </si>
  <si>
    <t>6306F</t>
  </si>
  <si>
    <t>6306FA1</t>
  </si>
  <si>
    <t>6306FA2</t>
  </si>
  <si>
    <t>6306FB1</t>
  </si>
  <si>
    <t>6306FB2</t>
  </si>
  <si>
    <t>6306FB3</t>
  </si>
  <si>
    <t>6306FC1</t>
  </si>
  <si>
    <t>6306FC2</t>
  </si>
  <si>
    <t>6306FD1</t>
  </si>
  <si>
    <t>6306FD2</t>
  </si>
  <si>
    <t>6308F</t>
  </si>
  <si>
    <t>6308FA1</t>
  </si>
  <si>
    <t>6308FA2</t>
  </si>
  <si>
    <t>6308FB1</t>
  </si>
  <si>
    <t>6308FB2</t>
  </si>
  <si>
    <t>6308FB3</t>
  </si>
  <si>
    <t>6308FC1</t>
  </si>
  <si>
    <t>6308FC2</t>
  </si>
  <si>
    <t>6308FD1</t>
  </si>
  <si>
    <t>6308FD2</t>
  </si>
  <si>
    <t>1MP11</t>
  </si>
  <si>
    <t>1MP12</t>
  </si>
  <si>
    <t>1MP131</t>
  </si>
  <si>
    <t>1MD41</t>
  </si>
  <si>
    <t>2MD1</t>
  </si>
  <si>
    <t>2MP2</t>
  </si>
  <si>
    <t>2MD41</t>
  </si>
  <si>
    <t>From central government .............................................................................................................................</t>
  </si>
  <si>
    <t>2MK1</t>
  </si>
  <si>
    <t>2MD62x</t>
  </si>
  <si>
    <t>2MD71</t>
  </si>
  <si>
    <t>To central government .............................................................................................................................</t>
  </si>
  <si>
    <t>Current Revenue minus Current Expense [GFS] .........................................................................................................................................</t>
  </si>
  <si>
    <t>Minus: FISIM allocation (deposits) .........................................................................................................................................</t>
  </si>
  <si>
    <t>1MP1x</t>
  </si>
  <si>
    <t>1MD61</t>
  </si>
  <si>
    <t>Minus: Related to own-account capital formation .........................................................................................................................................</t>
  </si>
  <si>
    <t>Minus: FISIM allocation (loans) .........................................................................................................................................</t>
  </si>
  <si>
    <t>CONSISTENCY WITH OTHER
MACROECONOMIC STATISTICS</t>
  </si>
  <si>
    <t>Plus: FISIM allocation (loans) .........................................................................................................................................</t>
  </si>
  <si>
    <t>Minus: Service charges payable to providers  of nonlife insurance .........................................................................................................................................</t>
  </si>
  <si>
    <t>Plus: Service charges payable to providers  of nonlife insurance .........................................................................................................................................</t>
  </si>
  <si>
    <t>Minus: Cost associated with the own production of goods and services transferred to households .........................................................................................................................................</t>
  </si>
  <si>
    <t>Minus: Social contributions related to increases in pension liabilities .........................................................................................................................................</t>
  </si>
  <si>
    <t>Minus: Social benefits related to reductions in pension liabilities .........................................................................................................................................</t>
  </si>
  <si>
    <t>Observations on discrepancies</t>
  </si>
  <si>
    <t>ANNEX 2</t>
  </si>
  <si>
    <t>Saving, net [SNA B8n] .........................................................................................................................................</t>
  </si>
  <si>
    <t>Net investment in nonfinancial assets [GFS 31] .........................................................................................................................................</t>
  </si>
  <si>
    <t>Net lending (+) / Net borrowing  (-) [GFS NLB] .........................................................................................................................................</t>
  </si>
  <si>
    <t>Net lending (+) / Net borrowing  (-) [SNA B9] .........................................................................................................................................</t>
  </si>
  <si>
    <t>Social contributions [GFS 12] .........................................................................................................................................</t>
  </si>
  <si>
    <t>Social contributions [SNA D61] ..............................................................................................................................................</t>
  </si>
  <si>
    <t>Interest [GFS 1411] .........................................................................................................................................</t>
  </si>
  <si>
    <t>Interest, receivable [SNA D41r] .........................................................................................................................................</t>
  </si>
  <si>
    <t>Sales of goods and services [GFS 142] .........................................................................................................................................</t>
  </si>
  <si>
    <t>Output, except other nonmarket output [SNA P11+P12+P131] ..............................................................................................................................................</t>
  </si>
  <si>
    <t>Minus: Output for own final use [SNA P12] .........................................................................................................................................</t>
  </si>
  <si>
    <t>Compensation of employees [GFS 21] .........................................................................................................................................</t>
  </si>
  <si>
    <t>Compensation of employees [SNA D1] ..............................................................................................................................................</t>
  </si>
  <si>
    <t>Use of goods and services [GFS 22] .........................................................................................................................................</t>
  </si>
  <si>
    <t>Intermediate consumption [SNA P2] ..............................................................................................................................................</t>
  </si>
  <si>
    <t>Consumption of fixed capital [GFS 23] .........................................................................................................................................</t>
  </si>
  <si>
    <t>Consumption of fixed capital [SNA K1] ..............................................................................................................................................</t>
  </si>
  <si>
    <t>Interest [GFS 24] .........................................................................................................................................</t>
  </si>
  <si>
    <t>Social benefits [GFS 27] .........................................................................................................................................</t>
  </si>
  <si>
    <t>2MD62</t>
  </si>
  <si>
    <t>2MD632</t>
  </si>
  <si>
    <t>Social benefits, other than social transfers in kind - nonmarket production [SNA D62+D632] ..............................................................................................................................................</t>
  </si>
  <si>
    <t>Premiums related to nonlife insurance [GFS 28311] .........................................................................................................................................</t>
  </si>
  <si>
    <t>Net nonlife insurance premiums, payable [SNA D71u] .........................................................................................................................................</t>
  </si>
  <si>
    <t>Interest, payable [SNA D41u] .........................................................................................................................................</t>
  </si>
  <si>
    <t>Net investment [SNA P5g-K1+NP] .........................................................................................................................................</t>
  </si>
  <si>
    <t>RECONCILIATION BETWEEN GFS AND SNA ITEMS</t>
  </si>
  <si>
    <t>VERTICAL CHECKS FOR ANNEX 2</t>
  </si>
  <si>
    <t>Capital transfers, credit, general government [BOP 20A100 C GA] .........................................................................................................................................</t>
  </si>
  <si>
    <t>Capital grants to foreign governments and international organizations [GFS 2612+2622] .........................................................................................................................................</t>
  </si>
  <si>
    <t>Capital grants from foreign governments and international organizations [GFS 1312+1322] .........................................................................................................................................</t>
  </si>
  <si>
    <t>Capital transfers, debit, general government [BOP 20A100 D GA] .........................................................................................................................................</t>
  </si>
  <si>
    <t>Net acquisition of financial assets, external [GFS 322] .........................................................................................................................................</t>
  </si>
  <si>
    <t>Net incurrence of liabilities, external [GFS 332] .........................................................................................................................................</t>
  </si>
  <si>
    <t>Liabilities, external [GFS 632] .........................................................................................................................................</t>
  </si>
  <si>
    <t>Liabilities, general government [BOP 8x L GA] .........................................................................................................................................</t>
  </si>
  <si>
    <t>Financial assets, external [GFS 622] .........................................................................................................................................</t>
  </si>
  <si>
    <t>Financial assets, general government [BOP 8x A GA] .........................................................................................................................................</t>
  </si>
  <si>
    <t>NAFA, general government [BOP 3x A GA] .........................................................................................................................................</t>
  </si>
  <si>
    <t>NIL, general government [BOP 3x L GA] .........................................................................................................................................</t>
  </si>
  <si>
    <t>Financial assets, central bank [GFS 68212] .........................................................................................................................................</t>
  </si>
  <si>
    <t>Liabilities, central bank [GFS 68312] .........................................................................................................................................</t>
  </si>
  <si>
    <t>Net liabilities to central bank [GFS 68312-68212] .........................................................................................................................................</t>
  </si>
  <si>
    <t>Liabilities, general government [SR1 xxx] .........................................................................................................................................</t>
  </si>
  <si>
    <t>Net claims on general government [SR1 xxx] .........................................................................................................................................</t>
  </si>
  <si>
    <t>Assets, general government [SR1 xxx] .........................................................................................................................................</t>
  </si>
  <si>
    <t>Net claims on general government [SR2 xxx] .........................................................................................................................................</t>
  </si>
  <si>
    <t>Liabilities, general government [SR2 xxx] .........................................................................................................................................</t>
  </si>
  <si>
    <t>Assets, general government [SR2 xxx] .........................................................................................................................................</t>
  </si>
  <si>
    <t>Net liabilities to other deposit-taking corporations [GFS 68313-68213] .........................................................................................................................................</t>
  </si>
  <si>
    <t>Financial assets, other deposit-taking corporations [GFS 68213] .........................................................................................................................................</t>
  </si>
  <si>
    <t>Liabilities, other deposit-taking corporations [GFS 68313] .........................................................................................................................................</t>
  </si>
  <si>
    <t>NATIONAL ACCOUNTS</t>
  </si>
  <si>
    <t>BALANCE OF PAYMENTS</t>
  </si>
  <si>
    <t>INTERNATIONAL INVESTMENT POSITION</t>
  </si>
  <si>
    <t>CENTRAL BANK ACCOUNT</t>
  </si>
  <si>
    <t>OTHER DEPOSIT-TAKING CORPORATIONS ACCOUNT</t>
  </si>
  <si>
    <t>BA=GL1</t>
  </si>
  <si>
    <t>EA</t>
  </si>
  <si>
    <t>CG</t>
  </si>
  <si>
    <t>SSF</t>
  </si>
  <si>
    <t>SG</t>
  </si>
  <si>
    <t>LG</t>
  </si>
  <si>
    <t>GG=GL3</t>
  </si>
  <si>
    <t>GL2</t>
  </si>
  <si>
    <t>+(EA)+(CC)</t>
  </si>
  <si>
    <t>+(SG)+(LG)+(CT)</t>
  </si>
  <si>
    <t>2g</t>
  </si>
  <si>
    <t>31g</t>
  </si>
  <si>
    <t>6M3D3</t>
  </si>
  <si>
    <t>6M3D2</t>
  </si>
  <si>
    <t>6M3D1</t>
  </si>
  <si>
    <t>6M4D3</t>
  </si>
  <si>
    <t>6M4D2</t>
  </si>
  <si>
    <t>6M4D1</t>
  </si>
  <si>
    <t>6M35D3</t>
  </si>
  <si>
    <t>6M35D2</t>
  </si>
  <si>
    <t>6M35D1</t>
  </si>
  <si>
    <t>6M92</t>
  </si>
  <si>
    <t>6M91</t>
  </si>
  <si>
    <t>6M91D3</t>
  </si>
  <si>
    <t>6M91D2</t>
  </si>
  <si>
    <t>6M91D1</t>
  </si>
  <si>
    <t>3M3D3</t>
  </si>
  <si>
    <t>3M3D2</t>
  </si>
  <si>
    <t>3M3D1</t>
  </si>
  <si>
    <t>4M3D3</t>
  </si>
  <si>
    <t>4M3D2</t>
  </si>
  <si>
    <t>4M3D1</t>
  </si>
  <si>
    <t>5M3D3</t>
  </si>
  <si>
    <t>5M3D2</t>
  </si>
  <si>
    <t>5M3D1</t>
  </si>
  <si>
    <t>9M3D3</t>
  </si>
  <si>
    <t>9M3D2</t>
  </si>
  <si>
    <t>9M3D1</t>
  </si>
  <si>
    <t>CNW</t>
  </si>
  <si>
    <t>6M93</t>
  </si>
  <si>
    <t>CNWz</t>
  </si>
  <si>
    <t>ANNEX 1. CONSOLIDATION (FROM-WHOM-TO-WHOM) TABLES</t>
  </si>
  <si>
    <t>7. Loans:</t>
  </si>
  <si>
    <t>5. Total grants:</t>
  </si>
  <si>
    <t>Intragovernmental interest memo items from Tables 1 and 2</t>
  </si>
  <si>
    <t>INTEREST RECEIVABLE</t>
  </si>
  <si>
    <t>INTEREST PAYABLE</t>
  </si>
  <si>
    <r>
      <t xml:space="preserve">Interest payable to other general government units (row)
</t>
    </r>
    <r>
      <rPr>
        <sz val="7"/>
        <rFont val="Segoe UI"/>
        <family val="2"/>
      </rPr>
      <t>[GFS code 243]</t>
    </r>
  </si>
  <si>
    <r>
      <t xml:space="preserve">Interest receivable from other general government units (column)   </t>
    </r>
    <r>
      <rPr>
        <sz val="7"/>
        <rFont val="Segoe UI"/>
        <family val="2"/>
      </rPr>
      <t>[GFS code 14113]</t>
    </r>
  </si>
  <si>
    <t>GRANTS RECEIVABLE</t>
  </si>
  <si>
    <t>GRANTS PAYABLE</t>
  </si>
  <si>
    <t>Intragovernmental grants memo items from Tables 1 and 2</t>
  </si>
  <si>
    <r>
      <t>Taxes receivable from other general government units (column)</t>
    </r>
    <r>
      <rPr>
        <sz val="7"/>
        <rFont val="Segoe UI"/>
        <family val="2"/>
      </rPr>
      <t xml:space="preserve">   [GFS code 11]</t>
    </r>
  </si>
  <si>
    <r>
      <t>Current grants receivable from other general government units (column)</t>
    </r>
    <r>
      <rPr>
        <sz val="7"/>
        <rFont val="Segoe UI"/>
        <family val="2"/>
      </rPr>
      <t xml:space="preserve">   [GFS code 1331]</t>
    </r>
  </si>
  <si>
    <r>
      <t>Total grants receivable from other general government units (column)</t>
    </r>
    <r>
      <rPr>
        <sz val="7"/>
        <rFont val="Segoe UI"/>
        <family val="2"/>
      </rPr>
      <t xml:space="preserve">   [GFS code 133]</t>
    </r>
  </si>
  <si>
    <r>
      <t>Securities held by other general government units (column)</t>
    </r>
    <r>
      <rPr>
        <sz val="7"/>
        <rFont val="Segoe UI"/>
        <family val="2"/>
      </rPr>
      <t xml:space="preserve">   [GFS code 3313]</t>
    </r>
  </si>
  <si>
    <r>
      <t>Loans from other general government units (column)</t>
    </r>
    <r>
      <rPr>
        <sz val="7"/>
        <rFont val="Segoe UI"/>
        <family val="2"/>
      </rPr>
      <t xml:space="preserve">   [GFS code 3314]</t>
    </r>
  </si>
  <si>
    <r>
      <t>Securities held by other general government units (column)</t>
    </r>
    <r>
      <rPr>
        <sz val="7"/>
        <rFont val="Segoe UI"/>
        <family val="2"/>
      </rPr>
      <t xml:space="preserve">   [GFS code 6313]</t>
    </r>
  </si>
  <si>
    <r>
      <t>Loans from other general government units (column)</t>
    </r>
    <r>
      <rPr>
        <sz val="7"/>
        <rFont val="Segoe UI"/>
        <family val="2"/>
      </rPr>
      <t xml:space="preserve">   [GFS code 6314]</t>
    </r>
  </si>
  <si>
    <r>
      <t xml:space="preserve">Taxes payable to other general government units (row)
</t>
    </r>
    <r>
      <rPr>
        <sz val="7"/>
        <rFont val="Segoe UI"/>
        <family val="2"/>
      </rPr>
      <t>[GFS code 2821]</t>
    </r>
  </si>
  <si>
    <r>
      <t xml:space="preserve">Current grants payable to other general government units (row)
</t>
    </r>
    <r>
      <rPr>
        <sz val="7"/>
        <rFont val="Segoe UI"/>
        <family val="2"/>
      </rPr>
      <t>[GFS code 2631]</t>
    </r>
  </si>
  <si>
    <r>
      <t xml:space="preserve">Securities issued by other general government units (row)
</t>
    </r>
    <r>
      <rPr>
        <sz val="7"/>
        <rFont val="Segoe UI"/>
        <family val="2"/>
      </rPr>
      <t>[GFS code 3213]</t>
    </r>
  </si>
  <si>
    <r>
      <t xml:space="preserve">Loans to other general government units (row)
</t>
    </r>
    <r>
      <rPr>
        <sz val="7"/>
        <rFont val="Segoe UI"/>
        <family val="2"/>
      </rPr>
      <t>[GFS code 3214]</t>
    </r>
  </si>
  <si>
    <r>
      <t xml:space="preserve">Securities issued by other general government units (row)
</t>
    </r>
    <r>
      <rPr>
        <sz val="7"/>
        <rFont val="Segoe UI"/>
        <family val="2"/>
      </rPr>
      <t>[GFS code 6213]</t>
    </r>
  </si>
  <si>
    <r>
      <t xml:space="preserve">Loans to other general government units (row)
</t>
    </r>
    <r>
      <rPr>
        <sz val="7"/>
        <rFont val="Segoe UI"/>
        <family val="2"/>
      </rPr>
      <t>[GFS code 6214]</t>
    </r>
  </si>
  <si>
    <t>Discrepancy .....................................................................................................................................................................</t>
  </si>
  <si>
    <t>6303NB1d</t>
  </si>
  <si>
    <t>6303NB2d</t>
  </si>
  <si>
    <t>6303MB1d</t>
  </si>
  <si>
    <t>6303MB2d</t>
  </si>
  <si>
    <t>6304NB1d</t>
  </si>
  <si>
    <t>6304NB2d</t>
  </si>
  <si>
    <t>6303FB1d</t>
  </si>
  <si>
    <t>6303FB2d</t>
  </si>
  <si>
    <t>6304FB1d</t>
  </si>
  <si>
    <t>6304FB2d</t>
  </si>
  <si>
    <t>GOB=1-2+23</t>
  </si>
  <si>
    <t>NOB=1-2</t>
  </si>
  <si>
    <t>NLB=1-2-31</t>
  </si>
  <si>
    <t>NLB=1-2M</t>
  </si>
  <si>
    <t>1=11+12+13+14</t>
  </si>
  <si>
    <t>2=21+22+23+24+25+26+27+28</t>
  </si>
  <si>
    <t>31=311+312+313+314</t>
  </si>
  <si>
    <t>32=321+322</t>
  </si>
  <si>
    <t>33=331+332</t>
  </si>
  <si>
    <t>1=Table1:1</t>
  </si>
  <si>
    <t>2=Table2:2</t>
  </si>
  <si>
    <t>31=Table3:31</t>
  </si>
  <si>
    <t>32=Table3:32</t>
  </si>
  <si>
    <t>33=Table3:33</t>
  </si>
  <si>
    <t>CIO=C1-C2</t>
  </si>
  <si>
    <t>NCB=CSD+NFB+CSDz</t>
  </si>
  <si>
    <t>PB=NLB+24</t>
  </si>
  <si>
    <t>11=111+112+113+114+115+116</t>
  </si>
  <si>
    <t>12=121+122</t>
  </si>
  <si>
    <t>13=131+132+133</t>
  </si>
  <si>
    <t>14=141+142+143+144+145</t>
  </si>
  <si>
    <t>111=1111+1112+1113</t>
  </si>
  <si>
    <t>114=1141+1142+1143+1144+1145+1146</t>
  </si>
  <si>
    <t>115=1151+1152+1153+1154+1155+1156</t>
  </si>
  <si>
    <t>121=1211+1212+1213+1214</t>
  </si>
  <si>
    <t>122=1221+1222+1223</t>
  </si>
  <si>
    <t>131=1311+1312</t>
  </si>
  <si>
    <t>132=1321+1322</t>
  </si>
  <si>
    <t>133=1331+1332</t>
  </si>
  <si>
    <t>142=1421+1422+1423+1424</t>
  </si>
  <si>
    <t>144=1441+1442</t>
  </si>
  <si>
    <t>1145=11451+11452</t>
  </si>
  <si>
    <t>113=1131+1132+1133+1135+1136</t>
  </si>
  <si>
    <t>1141=11411+11412+11413+11414</t>
  </si>
  <si>
    <t>141=1411+1412+1413+1414+1415+1416</t>
  </si>
  <si>
    <t>1441=14411+14412</t>
  </si>
  <si>
    <t>145=1451+1452</t>
  </si>
  <si>
    <t>1411=14111+14112+14113</t>
  </si>
  <si>
    <t>1451=14511+14512+14513</t>
  </si>
  <si>
    <t>21=211+212</t>
  </si>
  <si>
    <t>24=241+242+243</t>
  </si>
  <si>
    <t>26=261+262+263</t>
  </si>
  <si>
    <t>27=271+272+273</t>
  </si>
  <si>
    <t>212=2121+2122</t>
  </si>
  <si>
    <t>261=2611+2612</t>
  </si>
  <si>
    <t>262=2621+2622</t>
  </si>
  <si>
    <t>263=2631+2632</t>
  </si>
  <si>
    <t>282=2821+2822</t>
  </si>
  <si>
    <t>25=251+252+253</t>
  </si>
  <si>
    <t>28=281+282+283</t>
  </si>
  <si>
    <t>281=2811+2812+2813+2814+2815</t>
  </si>
  <si>
    <t>283=2831+2832</t>
  </si>
  <si>
    <t>2831=28311+28312+28313</t>
  </si>
  <si>
    <t>3=31+32-33</t>
  </si>
  <si>
    <t>314=3141+3142+3143+3144</t>
  </si>
  <si>
    <t>3202=3212+3222</t>
  </si>
  <si>
    <t>3203=3213+3223</t>
  </si>
  <si>
    <t>3204=3214+3224</t>
  </si>
  <si>
    <t>3205=3215+3225</t>
  </si>
  <si>
    <t>3206=3216+3226</t>
  </si>
  <si>
    <t>3207=3217+3227</t>
  </si>
  <si>
    <t>3208=3218+3228</t>
  </si>
  <si>
    <t>3302=3312+3322</t>
  </si>
  <si>
    <t>3303=3313+3323</t>
  </si>
  <si>
    <t>3304=3314+3324</t>
  </si>
  <si>
    <t>3305=3315+3325</t>
  </si>
  <si>
    <t>3306=3316+3326</t>
  </si>
  <si>
    <t>3307=3317+3327</t>
  </si>
  <si>
    <t>3308=3318+3328</t>
  </si>
  <si>
    <t>3M1=3M11+3M12+3M13+3M14</t>
  </si>
  <si>
    <t>311=3111+3112+3113+3114</t>
  </si>
  <si>
    <t>32=3201+3202+3203+3204+3205+3206+3207+3208</t>
  </si>
  <si>
    <t>321=3211+3212+3213+3214+3215+3216+3217+3218</t>
  </si>
  <si>
    <t>322=3221+3222+3223+3224+3225+3226+3227+3228</t>
  </si>
  <si>
    <t>33=3301+3302+3303+3304+3305+3306+3307+3308</t>
  </si>
  <si>
    <t>3301=3321</t>
  </si>
  <si>
    <t>331=3312+3313+3314+3315+3316+3317+3318</t>
  </si>
  <si>
    <t>332=3321+3322+3323+3324+3325+3326+3327+3328</t>
  </si>
  <si>
    <t>3306=33061+33062+33063+33064+33065</t>
  </si>
  <si>
    <t>31x.1=311.1+313.1+314.1</t>
  </si>
  <si>
    <t>31x.2=311.2+313.2+314.2</t>
  </si>
  <si>
    <t>31=31x.1-31x.2-31.3</t>
  </si>
  <si>
    <t>3M3=3301+3302+3303+3304+3306+3308</t>
  </si>
  <si>
    <t>3M3D3=3301+3302+3303+3304+3308</t>
  </si>
  <si>
    <t>3M3D2=3301+3302+3303+3304</t>
  </si>
  <si>
    <t>3M3D1=3303+3304</t>
  </si>
  <si>
    <t>4=41+42-43</t>
  </si>
  <si>
    <t>41=411+412+413+414</t>
  </si>
  <si>
    <t>43=431+432</t>
  </si>
  <si>
    <t>43=4301+4302+4303+4304+4305+4306+4307+4308</t>
  </si>
  <si>
    <t>4M2=42-43</t>
  </si>
  <si>
    <t>42=421+422</t>
  </si>
  <si>
    <t>42=4201+4202+4203+4204+4205+4206+4207+4208</t>
  </si>
  <si>
    <t>4M3=4301+4302+4303+4304+4306+4308</t>
  </si>
  <si>
    <t>4M3D3=4301+4302+4303+4304+4308</t>
  </si>
  <si>
    <t>4M3D2=4301+4302+4303+4304</t>
  </si>
  <si>
    <t>4M3D1=4303+4304</t>
  </si>
  <si>
    <t>5=51+52-53</t>
  </si>
  <si>
    <t>51=511+512+513+514</t>
  </si>
  <si>
    <t>52=521+522</t>
  </si>
  <si>
    <t>52=5201+5202+5203+5204+5205+5206+5207+5208</t>
  </si>
  <si>
    <t>53=531+532</t>
  </si>
  <si>
    <t>53=5301+5302+5303+5304+5305+5306+5307+5308</t>
  </si>
  <si>
    <t>5M2=52-53</t>
  </si>
  <si>
    <t>5M3=5301+5302+5303+5304+5306+5308</t>
  </si>
  <si>
    <t>5M3D3=5301+5302+5303+5304+5308</t>
  </si>
  <si>
    <t>5M3D2=5301+5302+5303+5304</t>
  </si>
  <si>
    <t>5M3D1=5303+5304</t>
  </si>
  <si>
    <t>6=61+62-63</t>
  </si>
  <si>
    <t>61=611+612+613+614</t>
  </si>
  <si>
    <t>614=6141+6142+6143+6144</t>
  </si>
  <si>
    <t>6202=6212+6222</t>
  </si>
  <si>
    <t>6203=6213+6223</t>
  </si>
  <si>
    <t>6204=6214+6224</t>
  </si>
  <si>
    <t>6205=6215+6225</t>
  </si>
  <si>
    <t>6206=6216+6226</t>
  </si>
  <si>
    <t>6207=6217+6227</t>
  </si>
  <si>
    <t>6208=6218+6228</t>
  </si>
  <si>
    <t>63=631+632</t>
  </si>
  <si>
    <t>63=6301+6302+6303+6304+6305+6306+6307+6308</t>
  </si>
  <si>
    <t>6301=6321</t>
  </si>
  <si>
    <t>6302=6312+6322</t>
  </si>
  <si>
    <t>6303=6313+6323</t>
  </si>
  <si>
    <t>6304=6314+6324</t>
  </si>
  <si>
    <t>6305=6315+6325</t>
  </si>
  <si>
    <t>6306=6316+6326</t>
  </si>
  <si>
    <t>6307=6317+6327</t>
  </si>
  <si>
    <t>6308=6318+6328</t>
  </si>
  <si>
    <t>632=6321+6322+6323+6324+6325+6326+6327+6328</t>
  </si>
  <si>
    <t>6M2=62-63</t>
  </si>
  <si>
    <t>611=6111+6112+6113+6114</t>
  </si>
  <si>
    <t>62=621+622</t>
  </si>
  <si>
    <t>62=6201+6202+6203+6204+6205+6206+6207+6208</t>
  </si>
  <si>
    <t>6201=6211+6221</t>
  </si>
  <si>
    <t>621=6211+6212+6213+6214+6215+6216+6217+6218</t>
  </si>
  <si>
    <t>622=6221+6222+6223+6224+6225+6226+6227+6228</t>
  </si>
  <si>
    <t>631=6311+6312+6313+6314+6315+6316+6317+6318</t>
  </si>
  <si>
    <t>6306=63061+63062+63063+63064+63065</t>
  </si>
  <si>
    <t>6301N=6301NA1+6301NA2</t>
  </si>
  <si>
    <t>6301N=6301NB1+6301NB2+6301NB3</t>
  </si>
  <si>
    <t>6301N=6301NC1+6301NC2</t>
  </si>
  <si>
    <t>6301N=6301ND1+6301ND2</t>
  </si>
  <si>
    <t>6302N=6302NA1+6302NA2</t>
  </si>
  <si>
    <t>6302N=6302NB1+6302NB2+6302NB3</t>
  </si>
  <si>
    <t>6302N=6302NC1+6302NC2</t>
  </si>
  <si>
    <t>6302N=6302ND1+6302ND2</t>
  </si>
  <si>
    <t>6303N=6303NA1+6303NA2</t>
  </si>
  <si>
    <t>6303N=6303NB1+6303NB2+6303NB3</t>
  </si>
  <si>
    <t>6303N=6303NC1+6303NC2</t>
  </si>
  <si>
    <t>6303N=6303ND1+6303ND2</t>
  </si>
  <si>
    <t>6304N=6304NA1+6304NA2</t>
  </si>
  <si>
    <t>6304N=6304NB1+6304NB2+6304NB3</t>
  </si>
  <si>
    <t>6304N=6304NC1+6304NC2</t>
  </si>
  <si>
    <t>6304N=6304ND1+6304ND2</t>
  </si>
  <si>
    <t>6306N=6306NA1+6306NA2</t>
  </si>
  <si>
    <t>6306N=6306NB1+6306NB2+6306NB3</t>
  </si>
  <si>
    <t>6306N=6306NC1+6306NC2</t>
  </si>
  <si>
    <t>6306N=6306ND1+6306ND2</t>
  </si>
  <si>
    <t>6308N=6308NA1+6308NA2</t>
  </si>
  <si>
    <t>6308N=6308NB1+6308NB2+6308NB3</t>
  </si>
  <si>
    <t>6308N=6308NC1+6308NC2</t>
  </si>
  <si>
    <t>6308N=6308ND1+6308ND2</t>
  </si>
  <si>
    <t>6303M=6303MA1+6303MA2</t>
  </si>
  <si>
    <t>6303M=6303MB1+6303MB2+6303MB3</t>
  </si>
  <si>
    <t>6303M=6303MC1+6303MC2</t>
  </si>
  <si>
    <t>6303M=6303MD1+6303MD2</t>
  </si>
  <si>
    <t>6301F=6301FA1+6301FA2</t>
  </si>
  <si>
    <t>6301F=6301FB1+6301FB2+6301FB3</t>
  </si>
  <si>
    <t>6301F=6301FC1+6301FC2</t>
  </si>
  <si>
    <t>6301F=6301FD1+6301FD2</t>
  </si>
  <si>
    <t>6302F=6302FA1+6302FA2</t>
  </si>
  <si>
    <t>6302F=6302FB1+6302FB2+6302FB3</t>
  </si>
  <si>
    <t>6302F=6302FC1+6302FC2</t>
  </si>
  <si>
    <t>6302F=6302FD1+6302FD2</t>
  </si>
  <si>
    <t>6303F=6303FA1+6303FA2</t>
  </si>
  <si>
    <t>6303F=6303FB1+6303FB2+6303FB3</t>
  </si>
  <si>
    <t>6303F=6303FC1+6303FC2</t>
  </si>
  <si>
    <t>6303F=6303FD1+6303FD2</t>
  </si>
  <si>
    <t>6304F=6304FA1+6304FA2</t>
  </si>
  <si>
    <t>6304F=6304FB1+6304FB2+6304FB3</t>
  </si>
  <si>
    <t>6304F=6304FC1+6304FC2</t>
  </si>
  <si>
    <t>6304F=6304FD1+6304FD2</t>
  </si>
  <si>
    <t>6306F=6306FA1+6306FA2</t>
  </si>
  <si>
    <t>6306F=6306FB1+6306FB2+6306FB3</t>
  </si>
  <si>
    <t>6306F=6306FC1+6306FC2</t>
  </si>
  <si>
    <t>6306F=6306FD1+6306FD2</t>
  </si>
  <si>
    <t>6308F=6308FA1+6308FA2</t>
  </si>
  <si>
    <t>6308F=6308FB1+6308FB2+6308FB3</t>
  </si>
  <si>
    <t>6308F=6308FC1+6308FC2</t>
  </si>
  <si>
    <t>6308F=6308FD1+6308FD2</t>
  </si>
  <si>
    <t>7=2+31</t>
  </si>
  <si>
    <t>701=7011+7012+7013+7014+7015+7016+7017+7018</t>
  </si>
  <si>
    <t>702=7021+7022+7023+7024+7025</t>
  </si>
  <si>
    <t>703=7031+7032+7033+7034+7035+7036</t>
  </si>
  <si>
    <t>704=7041+7042+7043+7044+7045+7046+7047+7048+7049</t>
  </si>
  <si>
    <t>705=7051+7052+7053+7054+7055+7056</t>
  </si>
  <si>
    <t>706=7061+7062+7063+7064+7065+7066</t>
  </si>
  <si>
    <t>707=7071+7072+7073+7074+7075+7076</t>
  </si>
  <si>
    <t>708=7081+7082+7083+7084+7085+7086</t>
  </si>
  <si>
    <t>709=7091+7092+7093+7094+7095+7096+7097+7098</t>
  </si>
  <si>
    <t>710=7101+7102+7103+7104+7105+7106+7107+7108+7109</t>
  </si>
  <si>
    <t>8211=82111+82112+82113+82114</t>
  </si>
  <si>
    <t>82=821+822</t>
  </si>
  <si>
    <t>821=8211+8212+8213+8214+8215+8216</t>
  </si>
  <si>
    <t>822=8221+8227+8228+8229</t>
  </si>
  <si>
    <t>83=831+832</t>
  </si>
  <si>
    <t>831=8311+8312+8313+8314+8315+8316</t>
  </si>
  <si>
    <t>832=8321+8327+8328+8329</t>
  </si>
  <si>
    <t>82111=821111+821112</t>
  </si>
  <si>
    <t>8311=83111+83112+83113+83114</t>
  </si>
  <si>
    <t>83111=831111+831112</t>
  </si>
  <si>
    <t>682=6821+6822</t>
  </si>
  <si>
    <t>6821=68211+68212+68213+68214+68215+68216</t>
  </si>
  <si>
    <t>6822=68221+68227+68228+68229</t>
  </si>
  <si>
    <t>683=6831+6832</t>
  </si>
  <si>
    <t>6831=68311+68312+68313+68314+68315+68316</t>
  </si>
  <si>
    <t>6832=68321+68327+68328+68329</t>
  </si>
  <si>
    <t>68211=682111+682112+682113+682114</t>
  </si>
  <si>
    <t>682111=6821111+6821112</t>
  </si>
  <si>
    <t>9=91+92-93</t>
  </si>
  <si>
    <t>91=911+912+913+914</t>
  </si>
  <si>
    <t>93=931+932</t>
  </si>
  <si>
    <t>93=9301+9302+9303+9304+9305+9306+9307+9308</t>
  </si>
  <si>
    <t>9M2=92-93</t>
  </si>
  <si>
    <t>9=4+5</t>
  </si>
  <si>
    <t>91=41+51</t>
  </si>
  <si>
    <t>912=412+512</t>
  </si>
  <si>
    <t>913=413+513</t>
  </si>
  <si>
    <t>914=414+514</t>
  </si>
  <si>
    <t>92=42+52</t>
  </si>
  <si>
    <t>9202=4202+5202</t>
  </si>
  <si>
    <t>9203=4203+5203</t>
  </si>
  <si>
    <t>9204=4204+5204</t>
  </si>
  <si>
    <t>9205=4205+5205</t>
  </si>
  <si>
    <t>9206=4206+5206</t>
  </si>
  <si>
    <t>9207=4207+5207</t>
  </si>
  <si>
    <t>9208=4208+5208</t>
  </si>
  <si>
    <t>921=421+521</t>
  </si>
  <si>
    <t>922=422+522</t>
  </si>
  <si>
    <t>93=43+53</t>
  </si>
  <si>
    <t>9301=4301+5301</t>
  </si>
  <si>
    <t>9302=4302+5302</t>
  </si>
  <si>
    <t>9303=4303+5303</t>
  </si>
  <si>
    <t>9304=4304+5304</t>
  </si>
  <si>
    <t>9305=4305+5305</t>
  </si>
  <si>
    <t>9306=4306+5306</t>
  </si>
  <si>
    <t>9307=4307+5307</t>
  </si>
  <si>
    <t>9308=4308+5308</t>
  </si>
  <si>
    <t>931=431+531</t>
  </si>
  <si>
    <t>932=432+532</t>
  </si>
  <si>
    <t>9M2=4M2+5M2</t>
  </si>
  <si>
    <t>9M3=4M3+5M3</t>
  </si>
  <si>
    <t>92=921+922</t>
  </si>
  <si>
    <t>92=9201+9202+9203+9204+9205+9206+9207+9208</t>
  </si>
  <si>
    <t>911=411+511</t>
  </si>
  <si>
    <t>9201=4201+5201</t>
  </si>
  <si>
    <t>9M3D3=4M3D3+5M3D3</t>
  </si>
  <si>
    <t>9M3D2=4M3D2+5M3D2</t>
  </si>
  <si>
    <t>9M3D1=4M3D1+5M3D1</t>
  </si>
  <si>
    <t>9M3=9301+9302+9303+9304+9306+9308</t>
  </si>
  <si>
    <t>9M3D3=9301+9302+9303+9304+9308</t>
  </si>
  <si>
    <t>9M3D2=9301+9302+9303+9304</t>
  </si>
  <si>
    <t>9M3D1=9303+9304</t>
  </si>
  <si>
    <t>CSD=C1-C2-C31</t>
  </si>
  <si>
    <t>CSD=C1-C2M</t>
  </si>
  <si>
    <t>NFB=-C32x+C33</t>
  </si>
  <si>
    <t>C1=C11+C12+C13+C14</t>
  </si>
  <si>
    <t>CNW=NOB+9</t>
  </si>
  <si>
    <t>9=Table9:9</t>
  </si>
  <si>
    <t>91=Table9:91</t>
  </si>
  <si>
    <t>92=Table9:92</t>
  </si>
  <si>
    <t>93=Table9:93</t>
  </si>
  <si>
    <r>
      <t>6</t>
    </r>
    <r>
      <rPr>
        <vertAlign val="subscript"/>
        <sz val="8"/>
        <rFont val="Segoe UI"/>
        <family val="2"/>
      </rPr>
      <t>t</t>
    </r>
    <r>
      <rPr>
        <sz val="7.5"/>
        <rFont val="Segoe UI"/>
        <family val="2"/>
      </rPr>
      <t>=Table6:6</t>
    </r>
  </si>
  <si>
    <t>Statement III vs Tables 3-9</t>
  </si>
  <si>
    <t>6M2=Table6:6M2</t>
  </si>
  <si>
    <t>61=Table6:61</t>
  </si>
  <si>
    <t>62=Table6:62</t>
  </si>
  <si>
    <t>63=Table6:63</t>
  </si>
  <si>
    <t>3M2=Table3:3M2</t>
  </si>
  <si>
    <t>9M2=Table9:9M2</t>
  </si>
  <si>
    <t>68311=683111+683112+683113+683114</t>
  </si>
  <si>
    <t>683111=6831111+6831112</t>
  </si>
  <si>
    <t>x</t>
  </si>
  <si>
    <t>11</t>
  </si>
  <si>
    <t>111</t>
  </si>
  <si>
    <t>1111</t>
  </si>
  <si>
    <t>1112</t>
  </si>
  <si>
    <t>1113</t>
  </si>
  <si>
    <t>112</t>
  </si>
  <si>
    <t>113</t>
  </si>
  <si>
    <t>1131</t>
  </si>
  <si>
    <t>1132</t>
  </si>
  <si>
    <t>1133</t>
  </si>
  <si>
    <t>1135</t>
  </si>
  <si>
    <t>1136</t>
  </si>
  <si>
    <t>114</t>
  </si>
  <si>
    <t>1141</t>
  </si>
  <si>
    <t>11411</t>
  </si>
  <si>
    <t>11412</t>
  </si>
  <si>
    <t>11413</t>
  </si>
  <si>
    <t>11414</t>
  </si>
  <si>
    <t>1142</t>
  </si>
  <si>
    <t>1143</t>
  </si>
  <si>
    <t>1144</t>
  </si>
  <si>
    <t>1145</t>
  </si>
  <si>
    <t>11451</t>
  </si>
  <si>
    <t>11452</t>
  </si>
  <si>
    <t>1146</t>
  </si>
  <si>
    <t>115</t>
  </si>
  <si>
    <t>1151</t>
  </si>
  <si>
    <t>1152</t>
  </si>
  <si>
    <t>1153</t>
  </si>
  <si>
    <t>1154</t>
  </si>
  <si>
    <t>1155</t>
  </si>
  <si>
    <t>1156</t>
  </si>
  <si>
    <t>116</t>
  </si>
  <si>
    <t>121</t>
  </si>
  <si>
    <t>1211</t>
  </si>
  <si>
    <t>1212</t>
  </si>
  <si>
    <t>1213</t>
  </si>
  <si>
    <t>1214</t>
  </si>
  <si>
    <t>122</t>
  </si>
  <si>
    <t>1221</t>
  </si>
  <si>
    <t>1222</t>
  </si>
  <si>
    <t>1223</t>
  </si>
  <si>
    <t>13</t>
  </si>
  <si>
    <t>131</t>
  </si>
  <si>
    <t>1311</t>
  </si>
  <si>
    <t>1312</t>
  </si>
  <si>
    <t>132</t>
  </si>
  <si>
    <t>1321</t>
  </si>
  <si>
    <t>1322</t>
  </si>
  <si>
    <t>14</t>
  </si>
  <si>
    <t>141</t>
  </si>
  <si>
    <t>1411</t>
  </si>
  <si>
    <t>1415</t>
  </si>
  <si>
    <t>1416</t>
  </si>
  <si>
    <t>142</t>
  </si>
  <si>
    <t>1421</t>
  </si>
  <si>
    <t>1422</t>
  </si>
  <si>
    <t>1423</t>
  </si>
  <si>
    <t>1424</t>
  </si>
  <si>
    <t>143</t>
  </si>
  <si>
    <t>144</t>
  </si>
  <si>
    <t>1441</t>
  </si>
  <si>
    <t>1442</t>
  </si>
  <si>
    <t>145</t>
  </si>
  <si>
    <t>1451</t>
  </si>
  <si>
    <t>1452</t>
  </si>
  <si>
    <t>211</t>
  </si>
  <si>
    <t>212</t>
  </si>
  <si>
    <t>2121</t>
  </si>
  <si>
    <t>2122</t>
  </si>
  <si>
    <t>22</t>
  </si>
  <si>
    <t>23</t>
  </si>
  <si>
    <t>24</t>
  </si>
  <si>
    <t>251</t>
  </si>
  <si>
    <t>252</t>
  </si>
  <si>
    <t>253</t>
  </si>
  <si>
    <t>26</t>
  </si>
  <si>
    <t>261</t>
  </si>
  <si>
    <t>2611</t>
  </si>
  <si>
    <t>2612</t>
  </si>
  <si>
    <t>262</t>
  </si>
  <si>
    <t>2621</t>
  </si>
  <si>
    <t>2622</t>
  </si>
  <si>
    <t>271</t>
  </si>
  <si>
    <t>272</t>
  </si>
  <si>
    <t>273</t>
  </si>
  <si>
    <t>28</t>
  </si>
  <si>
    <t>281</t>
  </si>
  <si>
    <t>282</t>
  </si>
  <si>
    <t>2821</t>
  </si>
  <si>
    <t>2822</t>
  </si>
  <si>
    <t>311</t>
  </si>
  <si>
    <t>3111</t>
  </si>
  <si>
    <t>3112</t>
  </si>
  <si>
    <t>3113</t>
  </si>
  <si>
    <t>3114</t>
  </si>
  <si>
    <t>312</t>
  </si>
  <si>
    <t>313</t>
  </si>
  <si>
    <t>314</t>
  </si>
  <si>
    <t>3141</t>
  </si>
  <si>
    <t>3142</t>
  </si>
  <si>
    <t>3143</t>
  </si>
  <si>
    <t>3144</t>
  </si>
  <si>
    <t>32</t>
  </si>
  <si>
    <t>3202</t>
  </si>
  <si>
    <t>3203</t>
  </si>
  <si>
    <t>3204</t>
  </si>
  <si>
    <t>3205</t>
  </si>
  <si>
    <t>3206</t>
  </si>
  <si>
    <t>3207</t>
  </si>
  <si>
    <t>3208</t>
  </si>
  <si>
    <t>321</t>
  </si>
  <si>
    <t>3211</t>
  </si>
  <si>
    <t>3212</t>
  </si>
  <si>
    <t>3213</t>
  </si>
  <si>
    <t>3214</t>
  </si>
  <si>
    <t>3215</t>
  </si>
  <si>
    <t>3216</t>
  </si>
  <si>
    <t>3217</t>
  </si>
  <si>
    <t>3218</t>
  </si>
  <si>
    <t>3222</t>
  </si>
  <si>
    <t>3223</t>
  </si>
  <si>
    <t>3224</t>
  </si>
  <si>
    <t>3225</t>
  </si>
  <si>
    <t>3226</t>
  </si>
  <si>
    <t>3227</t>
  </si>
  <si>
    <t>3228</t>
  </si>
  <si>
    <t>33</t>
  </si>
  <si>
    <t>3301</t>
  </si>
  <si>
    <t>3302</t>
  </si>
  <si>
    <t>3303</t>
  </si>
  <si>
    <t>3304</t>
  </si>
  <si>
    <t>3305</t>
  </si>
  <si>
    <t>3306</t>
  </si>
  <si>
    <t>33061</t>
  </si>
  <si>
    <t>33062</t>
  </si>
  <si>
    <t>33063</t>
  </si>
  <si>
    <t>33064</t>
  </si>
  <si>
    <t>33065</t>
  </si>
  <si>
    <t>3307</t>
  </si>
  <si>
    <t>3308</t>
  </si>
  <si>
    <t>331</t>
  </si>
  <si>
    <t>3312</t>
  </si>
  <si>
    <t>3313</t>
  </si>
  <si>
    <t>3314</t>
  </si>
  <si>
    <t>3315</t>
  </si>
  <si>
    <t>3316</t>
  </si>
  <si>
    <t>3317</t>
  </si>
  <si>
    <t>3318</t>
  </si>
  <si>
    <t>3321</t>
  </si>
  <si>
    <t>3322</t>
  </si>
  <si>
    <t>3323</t>
  </si>
  <si>
    <t>3324</t>
  </si>
  <si>
    <t>3325</t>
  </si>
  <si>
    <t>3326</t>
  </si>
  <si>
    <t>3327</t>
  </si>
  <si>
    <t>3328</t>
  </si>
  <si>
    <t>311.1</t>
  </si>
  <si>
    <t>313.1</t>
  </si>
  <si>
    <t>314.1</t>
  </si>
  <si>
    <t>311.2</t>
  </si>
  <si>
    <t>313.2</t>
  </si>
  <si>
    <t>314.2</t>
  </si>
  <si>
    <t>31.3</t>
  </si>
  <si>
    <t>411</t>
  </si>
  <si>
    <t>412</t>
  </si>
  <si>
    <t>413</t>
  </si>
  <si>
    <t>414</t>
  </si>
  <si>
    <t>42</t>
  </si>
  <si>
    <t>4202</t>
  </si>
  <si>
    <t>4203</t>
  </si>
  <si>
    <t>4204</t>
  </si>
  <si>
    <t>4205</t>
  </si>
  <si>
    <t>4206</t>
  </si>
  <si>
    <t>4207</t>
  </si>
  <si>
    <t>4208</t>
  </si>
  <si>
    <t>421</t>
  </si>
  <si>
    <t>422</t>
  </si>
  <si>
    <t>43</t>
  </si>
  <si>
    <t>4301</t>
  </si>
  <si>
    <t>4302</t>
  </si>
  <si>
    <t>4303</t>
  </si>
  <si>
    <t>4304</t>
  </si>
  <si>
    <t>4305</t>
  </si>
  <si>
    <t>4306</t>
  </si>
  <si>
    <t>4307</t>
  </si>
  <si>
    <t>4308</t>
  </si>
  <si>
    <t>431</t>
  </si>
  <si>
    <t>432</t>
  </si>
  <si>
    <t>511</t>
  </si>
  <si>
    <t>512</t>
  </si>
  <si>
    <t>513</t>
  </si>
  <si>
    <t>514</t>
  </si>
  <si>
    <t>52</t>
  </si>
  <si>
    <t>5202</t>
  </si>
  <si>
    <t>5203</t>
  </si>
  <si>
    <t>5204</t>
  </si>
  <si>
    <t>5205</t>
  </si>
  <si>
    <t>5206</t>
  </si>
  <si>
    <t>5207</t>
  </si>
  <si>
    <t>5208</t>
  </si>
  <si>
    <t>521</t>
  </si>
  <si>
    <t>522</t>
  </si>
  <si>
    <t>53</t>
  </si>
  <si>
    <t>5301</t>
  </si>
  <si>
    <t>5302</t>
  </si>
  <si>
    <t>5303</t>
  </si>
  <si>
    <t>5304</t>
  </si>
  <si>
    <t>5305</t>
  </si>
  <si>
    <t>5306</t>
  </si>
  <si>
    <t>5307</t>
  </si>
  <si>
    <t>5308</t>
  </si>
  <si>
    <t>531</t>
  </si>
  <si>
    <t>532</t>
  </si>
  <si>
    <t>611</t>
  </si>
  <si>
    <t>6111</t>
  </si>
  <si>
    <t>6112</t>
  </si>
  <si>
    <t>6113</t>
  </si>
  <si>
    <t>6114</t>
  </si>
  <si>
    <t>612</t>
  </si>
  <si>
    <t>613</t>
  </si>
  <si>
    <t>614</t>
  </si>
  <si>
    <t>6141</t>
  </si>
  <si>
    <t>6142</t>
  </si>
  <si>
    <t>6143</t>
  </si>
  <si>
    <t>6144</t>
  </si>
  <si>
    <t>62</t>
  </si>
  <si>
    <t>6202</t>
  </si>
  <si>
    <t>6203</t>
  </si>
  <si>
    <t>6204</t>
  </si>
  <si>
    <t>6205</t>
  </si>
  <si>
    <t>6206</t>
  </si>
  <si>
    <t>6207</t>
  </si>
  <si>
    <t>6208</t>
  </si>
  <si>
    <t>621</t>
  </si>
  <si>
    <t>6211</t>
  </si>
  <si>
    <t>6212</t>
  </si>
  <si>
    <t>6213</t>
  </si>
  <si>
    <t>6214</t>
  </si>
  <si>
    <t>6215</t>
  </si>
  <si>
    <t>6216</t>
  </si>
  <si>
    <t>6217</t>
  </si>
  <si>
    <t>6218</t>
  </si>
  <si>
    <t>622</t>
  </si>
  <si>
    <t>6222</t>
  </si>
  <si>
    <t>6223</t>
  </si>
  <si>
    <t>6224</t>
  </si>
  <si>
    <t>6225</t>
  </si>
  <si>
    <t>6226</t>
  </si>
  <si>
    <t>6227</t>
  </si>
  <si>
    <t>6228</t>
  </si>
  <si>
    <t>63</t>
  </si>
  <si>
    <t>6301</t>
  </si>
  <si>
    <t>6302</t>
  </si>
  <si>
    <t>6303</t>
  </si>
  <si>
    <t>6304</t>
  </si>
  <si>
    <t>6305</t>
  </si>
  <si>
    <t>6306</t>
  </si>
  <si>
    <t>63061</t>
  </si>
  <si>
    <t>63062</t>
  </si>
  <si>
    <t>63063</t>
  </si>
  <si>
    <t>63064</t>
  </si>
  <si>
    <t>63065</t>
  </si>
  <si>
    <t>6307</t>
  </si>
  <si>
    <t>6308</t>
  </si>
  <si>
    <t>631</t>
  </si>
  <si>
    <t>6312</t>
  </si>
  <si>
    <t>6313</t>
  </si>
  <si>
    <t>6314</t>
  </si>
  <si>
    <t>6315</t>
  </si>
  <si>
    <t>6316</t>
  </si>
  <si>
    <t>6317</t>
  </si>
  <si>
    <t>6318</t>
  </si>
  <si>
    <t>632</t>
  </si>
  <si>
    <t>6321</t>
  </si>
  <si>
    <t>6322</t>
  </si>
  <si>
    <t>6323</t>
  </si>
  <si>
    <t>6324</t>
  </si>
  <si>
    <t>6325</t>
  </si>
  <si>
    <t>6326</t>
  </si>
  <si>
    <t>6327</t>
  </si>
  <si>
    <t>6328</t>
  </si>
  <si>
    <t>701</t>
  </si>
  <si>
    <t>7017</t>
  </si>
  <si>
    <t>702</t>
  </si>
  <si>
    <t>703</t>
  </si>
  <si>
    <t>704</t>
  </si>
  <si>
    <t>7042</t>
  </si>
  <si>
    <t>7043</t>
  </si>
  <si>
    <t>7044</t>
  </si>
  <si>
    <t>7045</t>
  </si>
  <si>
    <t>7046</t>
  </si>
  <si>
    <t>705</t>
  </si>
  <si>
    <t>706</t>
  </si>
  <si>
    <t>707</t>
  </si>
  <si>
    <t>7072</t>
  </si>
  <si>
    <t>7073</t>
  </si>
  <si>
    <t>7074</t>
  </si>
  <si>
    <t>708</t>
  </si>
  <si>
    <t>709</t>
  </si>
  <si>
    <t>7091</t>
  </si>
  <si>
    <t>7092</t>
  </si>
  <si>
    <t>7094</t>
  </si>
  <si>
    <t>710</t>
  </si>
  <si>
    <t>82</t>
  </si>
  <si>
    <t>821</t>
  </si>
  <si>
    <t>82111</t>
  </si>
  <si>
    <t>821111</t>
  </si>
  <si>
    <t>821112</t>
  </si>
  <si>
    <t>82112</t>
  </si>
  <si>
    <t>82113</t>
  </si>
  <si>
    <t>82114</t>
  </si>
  <si>
    <t>8212</t>
  </si>
  <si>
    <t>8213</t>
  </si>
  <si>
    <t>8214</t>
  </si>
  <si>
    <t>8215</t>
  </si>
  <si>
    <t>8216</t>
  </si>
  <si>
    <t>822</t>
  </si>
  <si>
    <t>8221</t>
  </si>
  <si>
    <t>8227</t>
  </si>
  <si>
    <t>8228</t>
  </si>
  <si>
    <t>8229</t>
  </si>
  <si>
    <t>83</t>
  </si>
  <si>
    <t>831</t>
  </si>
  <si>
    <t>83111</t>
  </si>
  <si>
    <t>831111</t>
  </si>
  <si>
    <t>831112</t>
  </si>
  <si>
    <t>83112</t>
  </si>
  <si>
    <t>83113</t>
  </si>
  <si>
    <t>83114</t>
  </si>
  <si>
    <t>8312</t>
  </si>
  <si>
    <t>8313</t>
  </si>
  <si>
    <t>8314</t>
  </si>
  <si>
    <t>8315</t>
  </si>
  <si>
    <t>8316</t>
  </si>
  <si>
    <t>832</t>
  </si>
  <si>
    <t>8321</t>
  </si>
  <si>
    <t>8327</t>
  </si>
  <si>
    <t>8328</t>
  </si>
  <si>
    <t>8329</t>
  </si>
  <si>
    <t>682</t>
  </si>
  <si>
    <t>6821</t>
  </si>
  <si>
    <t>68211</t>
  </si>
  <si>
    <t>682111</t>
  </si>
  <si>
    <t>6821111</t>
  </si>
  <si>
    <t>6821112</t>
  </si>
  <si>
    <t>682112</t>
  </si>
  <si>
    <t>682113</t>
  </si>
  <si>
    <t>682114</t>
  </si>
  <si>
    <t>68212</t>
  </si>
  <si>
    <t>68213</t>
  </si>
  <si>
    <t>68214</t>
  </si>
  <si>
    <t>68215</t>
  </si>
  <si>
    <t>68216</t>
  </si>
  <si>
    <t>6822</t>
  </si>
  <si>
    <t>68221</t>
  </si>
  <si>
    <t>68227</t>
  </si>
  <si>
    <t>68228</t>
  </si>
  <si>
    <t>68229</t>
  </si>
  <si>
    <t>683</t>
  </si>
  <si>
    <t>6831</t>
  </si>
  <si>
    <t>68311</t>
  </si>
  <si>
    <t>683111</t>
  </si>
  <si>
    <t>6831111</t>
  </si>
  <si>
    <t>6831112</t>
  </si>
  <si>
    <t>683112</t>
  </si>
  <si>
    <t>683113</t>
  </si>
  <si>
    <t>683114</t>
  </si>
  <si>
    <t>68312</t>
  </si>
  <si>
    <t>68313</t>
  </si>
  <si>
    <t>68314</t>
  </si>
  <si>
    <t>68315</t>
  </si>
  <si>
    <t>68316</t>
  </si>
  <si>
    <t>6832</t>
  </si>
  <si>
    <t>68321</t>
  </si>
  <si>
    <t>68327</t>
  </si>
  <si>
    <t>68328</t>
  </si>
  <si>
    <t>68329</t>
  </si>
  <si>
    <t>911</t>
  </si>
  <si>
    <t>912</t>
  </si>
  <si>
    <t>913</t>
  </si>
  <si>
    <t>914</t>
  </si>
  <si>
    <t>92</t>
  </si>
  <si>
    <t>9202</t>
  </si>
  <si>
    <t>9203</t>
  </si>
  <si>
    <t>9204</t>
  </si>
  <si>
    <t>9205</t>
  </si>
  <si>
    <t>9206</t>
  </si>
  <si>
    <t>9207</t>
  </si>
  <si>
    <t>9208</t>
  </si>
  <si>
    <t>921</t>
  </si>
  <si>
    <t>922</t>
  </si>
  <si>
    <t>93</t>
  </si>
  <si>
    <t>9301</t>
  </si>
  <si>
    <t>9302</t>
  </si>
  <si>
    <t>9303</t>
  </si>
  <si>
    <t>9304</t>
  </si>
  <si>
    <t>9305</t>
  </si>
  <si>
    <t>9306</t>
  </si>
  <si>
    <t>9307</t>
  </si>
  <si>
    <t>9308</t>
  </si>
  <si>
    <t>931</t>
  </si>
  <si>
    <t>932</t>
  </si>
  <si>
    <t>6M3D1z</t>
  </si>
  <si>
    <t>3M3D1=Table3:3M3D1</t>
  </si>
  <si>
    <t>9M3D1=Table9:9M3D1</t>
  </si>
  <si>
    <t>6M3D1=Table6:6M3D1</t>
  </si>
  <si>
    <r>
      <t>61</t>
    </r>
    <r>
      <rPr>
        <b/>
        <vertAlign val="subscript"/>
        <sz val="8.25"/>
        <rFont val="Segoe UI"/>
        <family val="2"/>
      </rPr>
      <t>t-1</t>
    </r>
  </si>
  <si>
    <r>
      <t>61</t>
    </r>
    <r>
      <rPr>
        <b/>
        <vertAlign val="subscript"/>
        <sz val="8.25"/>
        <rFont val="Segoe UI"/>
        <family val="2"/>
      </rPr>
      <t>t</t>
    </r>
  </si>
  <si>
    <r>
      <t>62</t>
    </r>
    <r>
      <rPr>
        <b/>
        <vertAlign val="subscript"/>
        <sz val="8.25"/>
        <rFont val="Segoe UI"/>
        <family val="2"/>
      </rPr>
      <t>t-1</t>
    </r>
  </si>
  <si>
    <r>
      <t>62</t>
    </r>
    <r>
      <rPr>
        <b/>
        <vertAlign val="subscript"/>
        <sz val="8.25"/>
        <rFont val="Segoe UI"/>
        <family val="2"/>
      </rPr>
      <t>t</t>
    </r>
  </si>
  <si>
    <r>
      <t>63</t>
    </r>
    <r>
      <rPr>
        <b/>
        <vertAlign val="subscript"/>
        <sz val="8.25"/>
        <rFont val="Segoe UI"/>
        <family val="2"/>
      </rPr>
      <t>t-1</t>
    </r>
  </si>
  <si>
    <r>
      <t>63</t>
    </r>
    <r>
      <rPr>
        <b/>
        <vertAlign val="subscript"/>
        <sz val="8.25"/>
        <rFont val="Segoe UI"/>
        <family val="2"/>
      </rPr>
      <t>t</t>
    </r>
  </si>
  <si>
    <r>
      <t>6M2</t>
    </r>
    <r>
      <rPr>
        <b/>
        <vertAlign val="subscript"/>
        <sz val="8.25"/>
        <rFont val="Segoe UI"/>
        <family val="2"/>
      </rPr>
      <t>t-1</t>
    </r>
  </si>
  <si>
    <r>
      <t>6M2</t>
    </r>
    <r>
      <rPr>
        <b/>
        <vertAlign val="subscript"/>
        <sz val="8.25"/>
        <rFont val="Segoe UI"/>
        <family val="2"/>
      </rPr>
      <t>t</t>
    </r>
  </si>
  <si>
    <r>
      <t>6M3D1</t>
    </r>
    <r>
      <rPr>
        <b/>
        <vertAlign val="subscript"/>
        <sz val="8.25"/>
        <rFont val="Segoe UI"/>
        <family val="2"/>
      </rPr>
      <t>t-1</t>
    </r>
  </si>
  <si>
    <r>
      <t>6M3D1</t>
    </r>
    <r>
      <rPr>
        <b/>
        <vertAlign val="subscript"/>
        <sz val="8.25"/>
        <rFont val="Segoe UI"/>
        <family val="2"/>
      </rPr>
      <t>t</t>
    </r>
  </si>
  <si>
    <r>
      <t>6</t>
    </r>
    <r>
      <rPr>
        <b/>
        <vertAlign val="subscript"/>
        <sz val="8.25"/>
        <rFont val="Segoe UI"/>
        <family val="2"/>
      </rPr>
      <t>t-1</t>
    </r>
  </si>
  <si>
    <r>
      <t>6</t>
    </r>
    <r>
      <rPr>
        <b/>
        <vertAlign val="subscript"/>
        <sz val="8.25"/>
        <rFont val="Segoe UI"/>
        <family val="2"/>
      </rPr>
      <t>t</t>
    </r>
  </si>
  <si>
    <r>
      <t>61</t>
    </r>
    <r>
      <rPr>
        <vertAlign val="subscript"/>
        <sz val="8.25"/>
        <rFont val="Segoe UI"/>
        <family val="2"/>
      </rPr>
      <t>t-1</t>
    </r>
  </si>
  <si>
    <r>
      <t>62</t>
    </r>
    <r>
      <rPr>
        <vertAlign val="subscript"/>
        <sz val="8.25"/>
        <rFont val="Segoe UI"/>
        <family val="2"/>
      </rPr>
      <t>t-1</t>
    </r>
  </si>
  <si>
    <r>
      <t>63</t>
    </r>
    <r>
      <rPr>
        <vertAlign val="subscript"/>
        <sz val="8.25"/>
        <rFont val="Segoe UI"/>
        <family val="2"/>
      </rPr>
      <t>t-1</t>
    </r>
  </si>
  <si>
    <r>
      <t>6M3D1</t>
    </r>
    <r>
      <rPr>
        <vertAlign val="subscript"/>
        <sz val="8.25"/>
        <rFont val="Segoe UI"/>
        <family val="2"/>
      </rPr>
      <t>t-1</t>
    </r>
  </si>
  <si>
    <t>TAXES RECEIVABLE</t>
  </si>
  <si>
    <t>TAXES PAYABLE</t>
  </si>
  <si>
    <t>Counterpart information for Taxes</t>
  </si>
  <si>
    <t>CURRENT GRANTS RECEIVABLE</t>
  </si>
  <si>
    <t>CURRENT GRANTS PAYABLE</t>
  </si>
  <si>
    <t>CAPITAL GRANTS RECEIVABLE</t>
  </si>
  <si>
    <t>CAPITAL GRANTS PAYABLE</t>
  </si>
  <si>
    <t>Counterpart information for Current Grants</t>
  </si>
  <si>
    <t>Counterpart information for Capital Grants</t>
  </si>
  <si>
    <t>6. Debt securities:</t>
  </si>
  <si>
    <t>1. Debt securities:</t>
  </si>
  <si>
    <t>Counterpart information for transactions in debt securities</t>
  </si>
  <si>
    <t>Counterpart information for transactions in loans</t>
  </si>
  <si>
    <t>Counterpart information for stock positions in debt securities</t>
  </si>
  <si>
    <t>Counterpart information for stock positions in loans</t>
  </si>
  <si>
    <t>SECURITIES ISSUED</t>
  </si>
  <si>
    <t>By budgetary central government .............................................................................................................................</t>
  </si>
  <si>
    <t>By extrabudgetary central government .............................................................................................................................</t>
  </si>
  <si>
    <t>By central government .............................................................................................................................</t>
  </si>
  <si>
    <t>By social security funds .............................................................................................................................</t>
  </si>
  <si>
    <t>By state governments .............................................................................................................................</t>
  </si>
  <si>
    <t>By local governments .............................................................................................................................</t>
  </si>
  <si>
    <t>SECURITIES HELD</t>
  </si>
  <si>
    <t>LOANS OBTAINED</t>
  </si>
  <si>
    <t>Total (issued to)</t>
  </si>
  <si>
    <t>Total (issued by)</t>
  </si>
  <si>
    <t>Total
(loans to)</t>
  </si>
  <si>
    <t>SECURITIES PURCHASED</t>
  </si>
  <si>
    <t>LOANS EXTENDED</t>
  </si>
  <si>
    <t>3202=3211+3221</t>
  </si>
  <si>
    <t>31.3=Table 2:23</t>
  </si>
  <si>
    <t>C2=C21+C22+C23+C24+C25+C26+C27+C28</t>
  </si>
  <si>
    <t>C31=C311+C312+C313+C314</t>
  </si>
  <si>
    <t>C32x=C321x+C322x</t>
  </si>
  <si>
    <t>C33=C331+C332</t>
  </si>
  <si>
    <t>NCB=3202</t>
  </si>
  <si>
    <t>NCB=3212+3222</t>
  </si>
  <si>
    <t>CPB=CSD+24</t>
  </si>
  <si>
    <t>MV, HV, or BV?</t>
  </si>
  <si>
    <t>MV, NV, or FV?</t>
  </si>
  <si>
    <t>11CBA</t>
  </si>
  <si>
    <t>2821CBA</t>
  </si>
  <si>
    <t>1331CBA</t>
  </si>
  <si>
    <t>2631CBA</t>
  </si>
  <si>
    <t>1332CBA</t>
  </si>
  <si>
    <t>2632CBA</t>
  </si>
  <si>
    <t>133CBA</t>
  </si>
  <si>
    <t>263CBA</t>
  </si>
  <si>
    <t>3213CBA</t>
  </si>
  <si>
    <t>3313CBA</t>
  </si>
  <si>
    <t>3214CBA</t>
  </si>
  <si>
    <t>3314CBA</t>
  </si>
  <si>
    <t>6213CBA</t>
  </si>
  <si>
    <t>6313CBA</t>
  </si>
  <si>
    <t>6214CBA</t>
  </si>
  <si>
    <t>6314CBA</t>
  </si>
  <si>
    <t>11CEA</t>
  </si>
  <si>
    <t>2821CEA</t>
  </si>
  <si>
    <t>1331CEA</t>
  </si>
  <si>
    <t>2631CEA</t>
  </si>
  <si>
    <t>1332CEA</t>
  </si>
  <si>
    <t>2632CEA</t>
  </si>
  <si>
    <t>133CEA</t>
  </si>
  <si>
    <t>263CEA</t>
  </si>
  <si>
    <t>3213CEA</t>
  </si>
  <si>
    <t>3313CEA</t>
  </si>
  <si>
    <t>3214CEA</t>
  </si>
  <si>
    <t>3314CEA</t>
  </si>
  <si>
    <t>6213CEA</t>
  </si>
  <si>
    <t>6313CEA</t>
  </si>
  <si>
    <t>6214CEA</t>
  </si>
  <si>
    <t>6314CEA</t>
  </si>
  <si>
    <t>11CCG</t>
  </si>
  <si>
    <t>2821CCG</t>
  </si>
  <si>
    <t>1331CCG</t>
  </si>
  <si>
    <t>2631CCG</t>
  </si>
  <si>
    <t>1332CCG</t>
  </si>
  <si>
    <t>2632CCG</t>
  </si>
  <si>
    <t>133CCG</t>
  </si>
  <si>
    <t>263CCG</t>
  </si>
  <si>
    <t>3213CCG</t>
  </si>
  <si>
    <t>3313CCG</t>
  </si>
  <si>
    <t>3214CCG</t>
  </si>
  <si>
    <t>3314CCG</t>
  </si>
  <si>
    <t>6213CCG</t>
  </si>
  <si>
    <t>6313CCG</t>
  </si>
  <si>
    <t>6214CCG</t>
  </si>
  <si>
    <t>6314CCG</t>
  </si>
  <si>
    <t>11CSS</t>
  </si>
  <si>
    <t>2821CSS</t>
  </si>
  <si>
    <t>1331CSS</t>
  </si>
  <si>
    <t>2631CSS</t>
  </si>
  <si>
    <t>1332CSS</t>
  </si>
  <si>
    <t>2632CSS</t>
  </si>
  <si>
    <t>133CSS</t>
  </si>
  <si>
    <t>263CSS</t>
  </si>
  <si>
    <t>3213CSS</t>
  </si>
  <si>
    <t>3313CSS</t>
  </si>
  <si>
    <t>3214CSS</t>
  </si>
  <si>
    <t>3314CSS</t>
  </si>
  <si>
    <t>6213CSS</t>
  </si>
  <si>
    <t>6313CSS</t>
  </si>
  <si>
    <t>6214CSS</t>
  </si>
  <si>
    <t>6314CSS</t>
  </si>
  <si>
    <t>11CSG</t>
  </si>
  <si>
    <t>2821CSG</t>
  </si>
  <si>
    <t>1331CSG</t>
  </si>
  <si>
    <t>2631CSG</t>
  </si>
  <si>
    <t>1332CSG</t>
  </si>
  <si>
    <t>2632CSG</t>
  </si>
  <si>
    <t>133CSG</t>
  </si>
  <si>
    <t>263CSG</t>
  </si>
  <si>
    <t>3213CSG</t>
  </si>
  <si>
    <t>3313CSG</t>
  </si>
  <si>
    <t>3214CSG</t>
  </si>
  <si>
    <t>3314CSG</t>
  </si>
  <si>
    <t>6213CSG</t>
  </si>
  <si>
    <t>6313CSG</t>
  </si>
  <si>
    <t>6214CSG</t>
  </si>
  <si>
    <t>6314CSG</t>
  </si>
  <si>
    <t>11CLG</t>
  </si>
  <si>
    <t>2821CLG</t>
  </si>
  <si>
    <t>1331CLG</t>
  </si>
  <si>
    <t>2631CLG</t>
  </si>
  <si>
    <t>1332CLG</t>
  </si>
  <si>
    <t>2632CLG</t>
  </si>
  <si>
    <t>133CLG</t>
  </si>
  <si>
    <t>263CLG</t>
  </si>
  <si>
    <t>3213CLG</t>
  </si>
  <si>
    <t>3313CLG</t>
  </si>
  <si>
    <t>3214CLG</t>
  </si>
  <si>
    <t>3314CLG</t>
  </si>
  <si>
    <t>6213CLG</t>
  </si>
  <si>
    <t>6313CLG</t>
  </si>
  <si>
    <t>6214CLG</t>
  </si>
  <si>
    <t>6314CLG</t>
  </si>
  <si>
    <t>243CBA</t>
  </si>
  <si>
    <t>243CEA</t>
  </si>
  <si>
    <t>243CCG</t>
  </si>
  <si>
    <t>243CSS</t>
  </si>
  <si>
    <t>243CSG</t>
  </si>
  <si>
    <t>243CLG</t>
  </si>
  <si>
    <t>14113CBA</t>
  </si>
  <si>
    <t>14113CEA</t>
  </si>
  <si>
    <t>14113CCG</t>
  </si>
  <si>
    <t>14113CSS</t>
  </si>
  <si>
    <t>14113CSG</t>
  </si>
  <si>
    <t>14113CLG</t>
  </si>
  <si>
    <t>BCG</t>
  </si>
  <si>
    <t>EBG</t>
  </si>
  <si>
    <t>SSG</t>
  </si>
  <si>
    <t>GG</t>
  </si>
  <si>
    <t>ALL_TABLE2_EXPENSE_INDICATORS</t>
  </si>
  <si>
    <t>ALL_TABLE1_REVENUE_INDICATORS</t>
  </si>
  <si>
    <t>ALL_TABLE31_INV_NF_ASSETS_INDICATORS</t>
  </si>
  <si>
    <t>ALL_TABLE32_33_FIN_TRANS_INDICATORS</t>
  </si>
  <si>
    <t>ALL_TABLE31_INV_NF_ASSETS_GROSSNET_INDICATORS</t>
  </si>
  <si>
    <t>ALL_TABLE61_NF_ASSETS_INDICATORS</t>
  </si>
  <si>
    <t>ALL_TABLE62_FIN_ASSETS_INDICATORS</t>
  </si>
  <si>
    <t>ALL_TABLE63_LIABILITIES_INDICATORS</t>
  </si>
  <si>
    <t>RG</t>
  </si>
  <si>
    <t>CGC</t>
  </si>
  <si>
    <t>GGC</t>
  </si>
  <si>
    <t>CG01</t>
  </si>
  <si>
    <t>REPORTING_CURRENCY</t>
  </si>
  <si>
    <t>REPORTING_SCALE</t>
  </si>
  <si>
    <t>REPORTER_NAME</t>
  </si>
  <si>
    <t>REPORTER_EMAIL</t>
  </si>
  <si>
    <t>REPORTER_ALT_NAME</t>
  </si>
  <si>
    <t>REPORTER_ALT_EMAIL</t>
  </si>
  <si>
    <t>SUB_DATE</t>
  </si>
  <si>
    <t>COMPILING_ORG</t>
  </si>
  <si>
    <t>USD</t>
  </si>
  <si>
    <t>EUR</t>
  </si>
  <si>
    <t>XDC</t>
  </si>
  <si>
    <t>US Dollars</t>
  </si>
  <si>
    <t>Euros</t>
  </si>
  <si>
    <t>National Currency</t>
  </si>
  <si>
    <t>GXOB_G14_CA</t>
  </si>
  <si>
    <t>GXCCF_G14_CA</t>
  </si>
  <si>
    <t>GXCNC_G14_CA</t>
  </si>
  <si>
    <t>GR_G14</t>
  </si>
  <si>
    <t>GRT_G14</t>
  </si>
  <si>
    <t>GRTI_G14</t>
  </si>
  <si>
    <t>GRTII_G14</t>
  </si>
  <si>
    <t>GRTIC_G14</t>
  </si>
  <si>
    <t>GRTIU_G14</t>
  </si>
  <si>
    <t>GRTPAY_G14</t>
  </si>
  <si>
    <t>GRTP_G14</t>
  </si>
  <si>
    <t>GRTPP_G14</t>
  </si>
  <si>
    <t>GRTPW_G14</t>
  </si>
  <si>
    <t>GRTPE_G14</t>
  </si>
  <si>
    <t>GRTPR_G14</t>
  </si>
  <si>
    <t>GRTGS_G14</t>
  </si>
  <si>
    <t>GRTGSG_G14</t>
  </si>
  <si>
    <t>GRTGSGV_G14</t>
  </si>
  <si>
    <t>GRTGSGS_G14</t>
  </si>
  <si>
    <t>GRTGSGT_G14</t>
  </si>
  <si>
    <t>GRTGSE_G14</t>
  </si>
  <si>
    <t>GRTGSP_G14</t>
  </si>
  <si>
    <t>GRTGSS_G14</t>
  </si>
  <si>
    <t>GRTGSU_G14</t>
  </si>
  <si>
    <t>GRTGSUM_G14</t>
  </si>
  <si>
    <t>GRTGSUO_G14</t>
  </si>
  <si>
    <t>GRTGSO_G14</t>
  </si>
  <si>
    <t>GRTT_G14</t>
  </si>
  <si>
    <t>GRTTC_G14</t>
  </si>
  <si>
    <t>GRTTE_G14</t>
  </si>
  <si>
    <t>GRTTP_G14</t>
  </si>
  <si>
    <t>GRTTXP_G14</t>
  </si>
  <si>
    <t>GRTTXT_G14</t>
  </si>
  <si>
    <t>GRTTO_G14</t>
  </si>
  <si>
    <t>GRTO_G14</t>
  </si>
  <si>
    <t>GRS_G14</t>
  </si>
  <si>
    <t>GRSSE_G14</t>
  </si>
  <si>
    <t>GRSSR_G14</t>
  </si>
  <si>
    <t>GRSSS_G14</t>
  </si>
  <si>
    <t>GRSSU_G14</t>
  </si>
  <si>
    <t>GRSOE_G14</t>
  </si>
  <si>
    <t>GRSOR_G14</t>
  </si>
  <si>
    <t>GRSOI_G14</t>
  </si>
  <si>
    <t>GRG_G14</t>
  </si>
  <si>
    <t>GRO_G14</t>
  </si>
  <si>
    <t>GROP_G14</t>
  </si>
  <si>
    <t>GROPI_G14</t>
  </si>
  <si>
    <t>GROPD_G14</t>
  </si>
  <si>
    <t>GROPW_G14</t>
  </si>
  <si>
    <t>GROPN_G14</t>
  </si>
  <si>
    <t>GROPR_G14</t>
  </si>
  <si>
    <t>GROS_G14</t>
  </si>
  <si>
    <t>GROSM_G14</t>
  </si>
  <si>
    <t>GROSA_G14</t>
  </si>
  <si>
    <t>GROSN_G14</t>
  </si>
  <si>
    <t>GROSI_G14</t>
  </si>
  <si>
    <t>GROF_G14</t>
  </si>
  <si>
    <t>GROT_G14</t>
  </si>
  <si>
    <t>GROTC_G14</t>
  </si>
  <si>
    <t>GROTK_G14</t>
  </si>
  <si>
    <t>GROO_G14</t>
  </si>
  <si>
    <t>GE_G14</t>
  </si>
  <si>
    <t>GECE_G14</t>
  </si>
  <si>
    <t>GECEW_G14</t>
  </si>
  <si>
    <t>GECES_G14</t>
  </si>
  <si>
    <t>GECESA_G14</t>
  </si>
  <si>
    <t>GECESI_G14</t>
  </si>
  <si>
    <t>GEGS_G14</t>
  </si>
  <si>
    <t>GEKC_G14</t>
  </si>
  <si>
    <t>GEI_G14</t>
  </si>
  <si>
    <t>GEST_G14</t>
  </si>
  <si>
    <t>GEG_G14</t>
  </si>
  <si>
    <t>GES_G14</t>
  </si>
  <si>
    <t>GESS_G14</t>
  </si>
  <si>
    <t>GESA_G14</t>
  </si>
  <si>
    <t>GESE_G14</t>
  </si>
  <si>
    <t>GEO_G14</t>
  </si>
  <si>
    <t>GEOP_G14</t>
  </si>
  <si>
    <t>GEOM_G14</t>
  </si>
  <si>
    <t>GEOMC_G14</t>
  </si>
  <si>
    <t>GEOMK_G14</t>
  </si>
  <si>
    <t>GADNW_T_G14</t>
  </si>
  <si>
    <t>GADAN_T_G14</t>
  </si>
  <si>
    <t>GADANF_T_G14</t>
  </si>
  <si>
    <t>GADANFB_T_G14</t>
  </si>
  <si>
    <t>GADANFM_T_G14</t>
  </si>
  <si>
    <t>GADANFO_T_G14</t>
  </si>
  <si>
    <t>GADANI_T_G14</t>
  </si>
  <si>
    <t>GADANV_T_G14</t>
  </si>
  <si>
    <t>GADANN_T_G14</t>
  </si>
  <si>
    <t>GADANNL_T_G14</t>
  </si>
  <si>
    <t>GADANNS_T_G14</t>
  </si>
  <si>
    <t>GADANNO_T_G14</t>
  </si>
  <si>
    <t>GADANNI_T_G14</t>
  </si>
  <si>
    <t>GADAF_T_G14</t>
  </si>
  <si>
    <t>GADAFM_T_G14</t>
  </si>
  <si>
    <t>GADAFCD_T_G14</t>
  </si>
  <si>
    <t>GADAFSO_T_G14</t>
  </si>
  <si>
    <t>GADAFLS_T_G14</t>
  </si>
  <si>
    <t>GADAFAE_T_G14</t>
  </si>
  <si>
    <t>GADAFIR_T_G14</t>
  </si>
  <si>
    <t>GADAFFD_T_G14</t>
  </si>
  <si>
    <t>GADAFO_T_G14</t>
  </si>
  <si>
    <t>GADAFD_T_G14</t>
  </si>
  <si>
    <t>GADAFDC_T_G14</t>
  </si>
  <si>
    <t>GADAFDS_T_G14</t>
  </si>
  <si>
    <t>GADAFDL_T_G14</t>
  </si>
  <si>
    <t>GADAFDA_T_G14</t>
  </si>
  <si>
    <t>GADAFDI_T_G14</t>
  </si>
  <si>
    <t>GADAFDF_T_G14</t>
  </si>
  <si>
    <t>GADAFDO_T_G14</t>
  </si>
  <si>
    <t>GADAFF_T_G14</t>
  </si>
  <si>
    <t>GADAFFM_T_G14</t>
  </si>
  <si>
    <t>GADAFFC_T_G14</t>
  </si>
  <si>
    <t>GADAFFS_T_G14</t>
  </si>
  <si>
    <t>GADAFFL_T_G14</t>
  </si>
  <si>
    <t>GADAFFA_T_G14</t>
  </si>
  <si>
    <t>GADAFFI_T_G14</t>
  </si>
  <si>
    <t>GADAFFF_T_G14</t>
  </si>
  <si>
    <t>GADAFFO_T_G14</t>
  </si>
  <si>
    <t>GADL_T_G14</t>
  </si>
  <si>
    <t>GADLSDR_T_G14</t>
  </si>
  <si>
    <t>GADLCD_T_G14</t>
  </si>
  <si>
    <t>GADLSO_T_G14</t>
  </si>
  <si>
    <t>GADLLS_T_G14</t>
  </si>
  <si>
    <t>GADLAE_T_G14</t>
  </si>
  <si>
    <t>GADLIR_T_G14</t>
  </si>
  <si>
    <t>GADLFD_T_G14</t>
  </si>
  <si>
    <t>GADLO_T_G14</t>
  </si>
  <si>
    <t>GADLD_T_G14</t>
  </si>
  <si>
    <t>GADLDC_T_G14</t>
  </si>
  <si>
    <t>GADLDS_T_G14</t>
  </si>
  <si>
    <t>GADLDL_T_G14</t>
  </si>
  <si>
    <t>GADLDA_T_G14</t>
  </si>
  <si>
    <t>GADLDI_T_G14</t>
  </si>
  <si>
    <t>GADLDF_T_G14</t>
  </si>
  <si>
    <t>GADLDO_T_G14</t>
  </si>
  <si>
    <t>GADLF_T_G14</t>
  </si>
  <si>
    <t>GADLFC_T_G14</t>
  </si>
  <si>
    <t>GADLFS_T_G14</t>
  </si>
  <si>
    <t>GADLFL_T_G14</t>
  </si>
  <si>
    <t>GADLFA_T_G14</t>
  </si>
  <si>
    <t>GADLFI_T_G14</t>
  </si>
  <si>
    <t>GADLFF_T_G14</t>
  </si>
  <si>
    <t>GADLFO_T_G14</t>
  </si>
  <si>
    <t>GADLK_T_G14</t>
  </si>
  <si>
    <t>GADLC_T_G14</t>
  </si>
  <si>
    <t>GADLU_T_G14</t>
  </si>
  <si>
    <t>GADLI_T_G14</t>
  </si>
  <si>
    <t>GADLT_T_G14</t>
  </si>
  <si>
    <t>GADLW_T_G14</t>
  </si>
  <si>
    <t>GADNW_HG_G14</t>
  </si>
  <si>
    <t>GADAN_HG_G14</t>
  </si>
  <si>
    <t>GADANF_HG_G14</t>
  </si>
  <si>
    <t>GADANI_HG_G14</t>
  </si>
  <si>
    <t>GADANV_HG_G14</t>
  </si>
  <si>
    <t>GADANN_HG_G14</t>
  </si>
  <si>
    <t>GADAF_HG_G14</t>
  </si>
  <si>
    <t>GADAFM_HG_G14</t>
  </si>
  <si>
    <t>GADAFCD_HG_G14</t>
  </si>
  <si>
    <t>GADAFSO_HG_G14</t>
  </si>
  <si>
    <t>GADAFLS_HG_G14</t>
  </si>
  <si>
    <t>GADAFAE_HG_G14</t>
  </si>
  <si>
    <t>GADAFIR_HG_G14</t>
  </si>
  <si>
    <t>GADAFFD_HG_G14</t>
  </si>
  <si>
    <t>GADAFO_HG_G14</t>
  </si>
  <si>
    <t>GADAFD_HG_G14</t>
  </si>
  <si>
    <t>GADAFF_HG_G14</t>
  </si>
  <si>
    <t>GADL_HG_G14</t>
  </si>
  <si>
    <t>GADLSDR_HG_G14</t>
  </si>
  <si>
    <t>GADLCD_HG_G14</t>
  </si>
  <si>
    <t>GADLSO_HG_G14</t>
  </si>
  <si>
    <t>GADLLS_HG_G14</t>
  </si>
  <si>
    <t>GADLAE_HG_G14</t>
  </si>
  <si>
    <t>GADLIR_HG_G14</t>
  </si>
  <si>
    <t>GADLFD_HG_G14</t>
  </si>
  <si>
    <t>GADLO_HG_G14</t>
  </si>
  <si>
    <t>GADLD_HG_G14</t>
  </si>
  <si>
    <t>GADLF_HG_G14</t>
  </si>
  <si>
    <t>GADLW_HG_G14</t>
  </si>
  <si>
    <t>GADNW_V_G14</t>
  </si>
  <si>
    <t>GADAN_V_G14</t>
  </si>
  <si>
    <t>GADANF_V_G14</t>
  </si>
  <si>
    <t>GADANI_V_G14</t>
  </si>
  <si>
    <t>GADANV_V_G14</t>
  </si>
  <si>
    <t>GADANN_V_G14</t>
  </si>
  <si>
    <t>GADAF_V_G14</t>
  </si>
  <si>
    <t>GADAFM_V_G14</t>
  </si>
  <si>
    <t>GADAFCD_V_G14</t>
  </si>
  <si>
    <t>GADAFSO_V_G14</t>
  </si>
  <si>
    <t>GADAFLS_V_G14</t>
  </si>
  <si>
    <t>GADAFAE_V_G14</t>
  </si>
  <si>
    <t>GADAFIR_V_G14</t>
  </si>
  <si>
    <t>GADAFFD_V_G14</t>
  </si>
  <si>
    <t>GADAFO_V_G14</t>
  </si>
  <si>
    <t>GADAFD_V_G14</t>
  </si>
  <si>
    <t>GADAFF_V_G14</t>
  </si>
  <si>
    <t>GADL_V_G14</t>
  </si>
  <si>
    <t>GADLSDR_V_G14</t>
  </si>
  <si>
    <t>GADLCD_V_G14</t>
  </si>
  <si>
    <t>GADLSO_V_G14</t>
  </si>
  <si>
    <t>GADLLS_V_G14</t>
  </si>
  <si>
    <t>GADLAE_V_G14</t>
  </si>
  <si>
    <t>GADLIR_V_G14</t>
  </si>
  <si>
    <t>GADLFD_V_G14</t>
  </si>
  <si>
    <t>GADLO_V_G14</t>
  </si>
  <si>
    <t>GADLD_V_G14</t>
  </si>
  <si>
    <t>GADLF_V_G14</t>
  </si>
  <si>
    <t>GADLW_V_G14</t>
  </si>
  <si>
    <t>GANW_G14</t>
  </si>
  <si>
    <t>GAAN_G14</t>
  </si>
  <si>
    <t>GAANF_G14</t>
  </si>
  <si>
    <t>GAANFB_G14</t>
  </si>
  <si>
    <t>GAANFM_G14</t>
  </si>
  <si>
    <t>GAANFO_G14</t>
  </si>
  <si>
    <t>GAANI_G14</t>
  </si>
  <si>
    <t>GAANV_G14</t>
  </si>
  <si>
    <t>GAANN_G14</t>
  </si>
  <si>
    <t>GAANNL_G14</t>
  </si>
  <si>
    <t>GAANNS_G14</t>
  </si>
  <si>
    <t>GAANNO_G14</t>
  </si>
  <si>
    <t>GAANNI_G14</t>
  </si>
  <si>
    <t>GAAF_G14</t>
  </si>
  <si>
    <t>GAAFM_G14</t>
  </si>
  <si>
    <t>GAAFCD_G14</t>
  </si>
  <si>
    <t>GAAFSO_G14</t>
  </si>
  <si>
    <t>GAAFLS_G14</t>
  </si>
  <si>
    <t>GAAFAE_G14</t>
  </si>
  <si>
    <t>GAAFIR_G14</t>
  </si>
  <si>
    <t>GAAFFD_G14</t>
  </si>
  <si>
    <t>GAAFO_G14</t>
  </si>
  <si>
    <t>GAAFD_G14</t>
  </si>
  <si>
    <t>GAAFDC_G14</t>
  </si>
  <si>
    <t>GAAFDS_G14</t>
  </si>
  <si>
    <t>GAAFDL_G14</t>
  </si>
  <si>
    <t>GAAFDA_G14</t>
  </si>
  <si>
    <t>GAAFDI_G14</t>
  </si>
  <si>
    <t>GAAFDF_G14</t>
  </si>
  <si>
    <t>GAAFDO_G14</t>
  </si>
  <si>
    <t>GAAFF_G14</t>
  </si>
  <si>
    <t>GAAFFM_G14</t>
  </si>
  <si>
    <t>GAAFFC_G14</t>
  </si>
  <si>
    <t>GAAFFS_G14</t>
  </si>
  <si>
    <t>GAAFFL_G14</t>
  </si>
  <si>
    <t>GAAFFA_G14</t>
  </si>
  <si>
    <t>GAAFFI_G14</t>
  </si>
  <si>
    <t>GAAFFF_G14</t>
  </si>
  <si>
    <t>GAAFFO_G14</t>
  </si>
  <si>
    <t>GAL_G14</t>
  </si>
  <si>
    <t>GALSDR_G14</t>
  </si>
  <si>
    <t>GALCD_G14</t>
  </si>
  <si>
    <t>GALSO_G14</t>
  </si>
  <si>
    <t>GALLS_G14</t>
  </si>
  <si>
    <t>GALAE_G14</t>
  </si>
  <si>
    <t>GALIR_G14</t>
  </si>
  <si>
    <t>GALFD_G14</t>
  </si>
  <si>
    <t>GALO_G14</t>
  </si>
  <si>
    <t>GALD_G14</t>
  </si>
  <si>
    <t>GALDC_G14</t>
  </si>
  <si>
    <t>GALDS_G14</t>
  </si>
  <si>
    <t>GALDL_G14</t>
  </si>
  <si>
    <t>GALDA_G14</t>
  </si>
  <si>
    <t>GALDI_G14</t>
  </si>
  <si>
    <t>GALDF_G14</t>
  </si>
  <si>
    <t>GALDO_G14</t>
  </si>
  <si>
    <t>GALF_G14</t>
  </si>
  <si>
    <t>GALFSDR_G14</t>
  </si>
  <si>
    <t>GALFC_G14</t>
  </si>
  <si>
    <t>GALFS_G14</t>
  </si>
  <si>
    <t>GALFL_G14</t>
  </si>
  <si>
    <t>GALFA_G14</t>
  </si>
  <si>
    <t>GALFI_G14</t>
  </si>
  <si>
    <t>GALFF_G14</t>
  </si>
  <si>
    <t>GALFO_G14</t>
  </si>
  <si>
    <t>GALW_G14</t>
  </si>
  <si>
    <t>GALL_G14</t>
  </si>
  <si>
    <t>GETO_G14</t>
  </si>
  <si>
    <t>GEGP_G14</t>
  </si>
  <si>
    <t>GEGPD_G14</t>
  </si>
  <si>
    <t>GEGPT_G14</t>
  </si>
  <si>
    <t>GED_G14</t>
  </si>
  <si>
    <t>GEP_G14</t>
  </si>
  <si>
    <t>GEA_G14</t>
  </si>
  <si>
    <t>GEAA_G14</t>
  </si>
  <si>
    <t>GEAF_G14</t>
  </si>
  <si>
    <t>GEAM_G14</t>
  </si>
  <si>
    <t>GEAT_G14</t>
  </si>
  <si>
    <t>GEAC_G14</t>
  </si>
  <si>
    <t>GEN_G14</t>
  </si>
  <si>
    <t>GEH_G14</t>
  </si>
  <si>
    <t>GEL_G14</t>
  </si>
  <si>
    <t>GELS_G14</t>
  </si>
  <si>
    <t>GELH_G14</t>
  </si>
  <si>
    <t>GELP_G14</t>
  </si>
  <si>
    <t>GER_G14</t>
  </si>
  <si>
    <t>GEE_G14</t>
  </si>
  <si>
    <t>GEEP_G14</t>
  </si>
  <si>
    <t>GEES_G14</t>
  </si>
  <si>
    <t>GEET_G14</t>
  </si>
  <si>
    <t>GESP_G14</t>
  </si>
  <si>
    <t>GADNW_O_G14</t>
  </si>
  <si>
    <t>GADAN_O_G14</t>
  </si>
  <si>
    <t>GADANF_O_G14</t>
  </si>
  <si>
    <t>GADANI_O_G14</t>
  </si>
  <si>
    <t>GADANV_O_G14</t>
  </si>
  <si>
    <t>GADANN_O_G14</t>
  </si>
  <si>
    <t>GADAF_O_G14</t>
  </si>
  <si>
    <t>GADAFM_O_G14</t>
  </si>
  <si>
    <t>GADAFCD_O_G14</t>
  </si>
  <si>
    <t>GADAFSO_O_G14</t>
  </si>
  <si>
    <t>GADAFLS_O_G14</t>
  </si>
  <si>
    <t>GADAFAE_O_G14</t>
  </si>
  <si>
    <t>GADAFIR_O_G14</t>
  </si>
  <si>
    <t>GADAFFD_O_G14</t>
  </si>
  <si>
    <t>GADAFO_O_G14</t>
  </si>
  <si>
    <t>GADAFD_O_G14</t>
  </si>
  <si>
    <t>GADAFF_O_G14</t>
  </si>
  <si>
    <t>GADL_O_G14</t>
  </si>
  <si>
    <t>GADLSDR_O_G14</t>
  </si>
  <si>
    <t>GADLCD_O_G14</t>
  </si>
  <si>
    <t>GADLSO_O_G14</t>
  </si>
  <si>
    <t>GADLLS_O_G14</t>
  </si>
  <si>
    <t>GADLAE_O_G14</t>
  </si>
  <si>
    <t>GADLIR_O_G14</t>
  </si>
  <si>
    <t>GADLFD_O_G14</t>
  </si>
  <si>
    <t>GADLO_O_G14</t>
  </si>
  <si>
    <t>GADLD_O_G14</t>
  </si>
  <si>
    <t>GADLF_O_G14</t>
  </si>
  <si>
    <t>GADLW_O_G14</t>
  </si>
  <si>
    <t>GR_G14_CA</t>
  </si>
  <si>
    <t>GRT_G14_CA</t>
  </si>
  <si>
    <t>GRS_G14_CA</t>
  </si>
  <si>
    <t>GRG_G14_CA</t>
  </si>
  <si>
    <t>GRO_G14_CA</t>
  </si>
  <si>
    <t>GE_G14_CA</t>
  </si>
  <si>
    <t>GECE_G14_CA</t>
  </si>
  <si>
    <t>GEGS_G14_CA</t>
  </si>
  <si>
    <t>GEI_G14_CA</t>
  </si>
  <si>
    <t>GEST_G14_CA</t>
  </si>
  <si>
    <t>GEG_G14_CA</t>
  </si>
  <si>
    <t>GES_G14_CA</t>
  </si>
  <si>
    <t>GEO_G14_CA</t>
  </si>
  <si>
    <t>GADAN_T_G14_CA</t>
  </si>
  <si>
    <t>GADAFX_T_G14_CA</t>
  </si>
  <si>
    <t>GADAFXD_T_G14_CA</t>
  </si>
  <si>
    <t>GADAFXF_T_G14_CA</t>
  </si>
  <si>
    <t>GADL_T_G14_CA</t>
  </si>
  <si>
    <t>GADLD_T_G14_CA</t>
  </si>
  <si>
    <t>GADLF_T_G14_CA</t>
  </si>
  <si>
    <t>GADANF_T_G14_CA</t>
  </si>
  <si>
    <t>GADANI_T_G14_CA</t>
  </si>
  <si>
    <t>GADANV_T_G14_CA</t>
  </si>
  <si>
    <t>GADANN_T_G14_CA</t>
  </si>
  <si>
    <t>GX_G14_CA</t>
  </si>
  <si>
    <t>GRTPF_G14</t>
  </si>
  <si>
    <t>GRSS_G14</t>
  </si>
  <si>
    <t>GRSO_G14</t>
  </si>
  <si>
    <t>GADANFKC_T_G14</t>
  </si>
  <si>
    <t>GALG_G14</t>
  </si>
  <si>
    <t>GEAD_G14</t>
  </si>
  <si>
    <t>GALS_G14</t>
  </si>
  <si>
    <t>GXCBN_G14_CA</t>
  </si>
  <si>
    <t>GXCNLA_G14_CA</t>
  </si>
  <si>
    <t>GB_PR_G14_CA</t>
  </si>
  <si>
    <t>GRG_FG_G14</t>
  </si>
  <si>
    <t>GRGC_FG_G14</t>
  </si>
  <si>
    <t>GRGK_FG_G14</t>
  </si>
  <si>
    <t>GRG_IO_G14</t>
  </si>
  <si>
    <t>GRGC_IO_G14</t>
  </si>
  <si>
    <t>GRGK_IO_G14</t>
  </si>
  <si>
    <t>GRG_GG_G14</t>
  </si>
  <si>
    <t>GRGC_GG_G14</t>
  </si>
  <si>
    <t>GRGK_GG_G14</t>
  </si>
  <si>
    <t>GROPI_NRES_G14</t>
  </si>
  <si>
    <t>GROPI_NGG_G14</t>
  </si>
  <si>
    <t>GROPI_GG_G14</t>
  </si>
  <si>
    <t>GROPE_G14</t>
  </si>
  <si>
    <t>GROTCS_G14</t>
  </si>
  <si>
    <t>GROTCO_G14</t>
  </si>
  <si>
    <t>GRG_CA_G14</t>
  </si>
  <si>
    <t>GRC_IK_G14</t>
  </si>
  <si>
    <t>GROPI_BCG_G14</t>
  </si>
  <si>
    <t>GROPI_EBG_G14</t>
  </si>
  <si>
    <t>GROPI_CG_G14</t>
  </si>
  <si>
    <t>GROPI_SSF_G14</t>
  </si>
  <si>
    <t>GROPI_RG_G14</t>
  </si>
  <si>
    <t>GROPI_LG_G14</t>
  </si>
  <si>
    <t>GRG_BCG_G14</t>
  </si>
  <si>
    <t>GRG_EBG_G14</t>
  </si>
  <si>
    <t>GRG_CG_G14</t>
  </si>
  <si>
    <t>GRG_SSF_G14</t>
  </si>
  <si>
    <t>GRG_RG_G14</t>
  </si>
  <si>
    <t>GRG_LG_G14</t>
  </si>
  <si>
    <t>GEI_NRES_G14</t>
  </si>
  <si>
    <t>GEI_NGG_G14</t>
  </si>
  <si>
    <t>GEI_GG_G14</t>
  </si>
  <si>
    <t>GEST_PE_G14</t>
  </si>
  <si>
    <t>GEST_OS_G14</t>
  </si>
  <si>
    <t>GEG_FG_G14</t>
  </si>
  <si>
    <t>GEGC_FG_G14</t>
  </si>
  <si>
    <t>GEGK_FG_G14</t>
  </si>
  <si>
    <t>GEG_IO_G14</t>
  </si>
  <si>
    <t>GEGC_IO_G14</t>
  </si>
  <si>
    <t>GEGK_IO_G14</t>
  </si>
  <si>
    <t>GEG_GG_G14</t>
  </si>
  <si>
    <t>GEGC_GG_G14</t>
  </si>
  <si>
    <t>GEGK_GG_G14</t>
  </si>
  <si>
    <t>GEOPD_G14</t>
  </si>
  <si>
    <t>GEOPW_G14</t>
  </si>
  <si>
    <t>GEOPP_G14</t>
  </si>
  <si>
    <t>GEOPR_G14</t>
  </si>
  <si>
    <t>GEOPE_G14</t>
  </si>
  <si>
    <t>GES_CA_G14</t>
  </si>
  <si>
    <t>GES_IK_G14</t>
  </si>
  <si>
    <t>GEI_BCG_G14</t>
  </si>
  <si>
    <t>GEI_EBG_G14</t>
  </si>
  <si>
    <t>GEI_CG_G14</t>
  </si>
  <si>
    <t>GEI_SSF_G14</t>
  </si>
  <si>
    <t>GEI_RG_G14</t>
  </si>
  <si>
    <t>GEI_LG_G14</t>
  </si>
  <si>
    <t>GEG_BCG_G14</t>
  </si>
  <si>
    <t>GEG_EBG_G14</t>
  </si>
  <si>
    <t>GEG_CG_G14</t>
  </si>
  <si>
    <t>GEG_SSF_G14</t>
  </si>
  <si>
    <t>GEG_RG_G14</t>
  </si>
  <si>
    <t>GEG_LG_G14</t>
  </si>
  <si>
    <t>GADANFW_T_G14</t>
  </si>
  <si>
    <t>GADAFDM_T_G14</t>
  </si>
  <si>
    <t>GADLIRN_T_G14</t>
  </si>
  <si>
    <t>GADLIRL_T_G14</t>
  </si>
  <si>
    <t>GADLIRP_T_G14</t>
  </si>
  <si>
    <t>GADLIRC_T_G14</t>
  </si>
  <si>
    <t>GADLIRS_T_G14</t>
  </si>
  <si>
    <t>GADLFSDR_T_G14</t>
  </si>
  <si>
    <t>GADANFAXI_T_G14</t>
  </si>
  <si>
    <t>GADANFAF_T_G14</t>
  </si>
  <si>
    <t>GADANFAV_T_G14</t>
  </si>
  <si>
    <t>GADANFAN_T_G14</t>
  </si>
  <si>
    <t>GADANFDXI_T_G14</t>
  </si>
  <si>
    <t>GADANFDF_T_G14</t>
  </si>
  <si>
    <t>GADANFDV_T_G14</t>
  </si>
  <si>
    <t>GADANFDN_T_G14</t>
  </si>
  <si>
    <t>GADLD4_GR_T_G14_MV</t>
  </si>
  <si>
    <t>GALD3_T_G14_MV</t>
  </si>
  <si>
    <t>GALD2_T_G14_MV</t>
  </si>
  <si>
    <t>GALD1_T_G14_MV</t>
  </si>
  <si>
    <t>GADLD4_GR_HG_G14_MV</t>
  </si>
  <si>
    <t>GALD3_HG_G14_MV</t>
  </si>
  <si>
    <t>GALD2_HG_G14_MV</t>
  </si>
  <si>
    <t>GALD1_HG_G14_MV</t>
  </si>
  <si>
    <t>GALD3_V_G14_MV</t>
  </si>
  <si>
    <t>GALD2_V_G14_MV</t>
  </si>
  <si>
    <t>GALD1_V_G14_MV</t>
  </si>
  <si>
    <t>GAANFW_G14</t>
  </si>
  <si>
    <t>GALIRN_T_G14</t>
  </si>
  <si>
    <t>GALIRL_T_G14</t>
  </si>
  <si>
    <t>GALIRP_T_G14</t>
  </si>
  <si>
    <t>GALIRC_T_G14</t>
  </si>
  <si>
    <t>GALIRS_T_G14</t>
  </si>
  <si>
    <t>GALD4_GR_G14_MV</t>
  </si>
  <si>
    <t>GALD3_G14_MV</t>
  </si>
  <si>
    <t>GALD2_G14_MV</t>
  </si>
  <si>
    <t>GALD1_G14_MV</t>
  </si>
  <si>
    <t>GALD4_GR_G14_NV</t>
  </si>
  <si>
    <t>GALD3_G14_NV</t>
  </si>
  <si>
    <t>GALD2_G14_NV</t>
  </si>
  <si>
    <t>GALD1_G14_NV</t>
  </si>
  <si>
    <t>GALD4_GR_G14_FV</t>
  </si>
  <si>
    <t>GALD3_G14_FV</t>
  </si>
  <si>
    <t>GALD2_G14_FV</t>
  </si>
  <si>
    <t>GALD1_G14_FV</t>
  </si>
  <si>
    <t>GALD4_NT_G14_MV</t>
  </si>
  <si>
    <t>GALD4NCD_GR_G14_MV</t>
  </si>
  <si>
    <t>GALD3NCD_G14</t>
  </si>
  <si>
    <t>GALD2NCD_G14</t>
  </si>
  <si>
    <t>GALD1NCD_G14</t>
  </si>
  <si>
    <t>GALDQS_G14</t>
  </si>
  <si>
    <t>GALD4_PR_G14</t>
  </si>
  <si>
    <t>GALD4LC_G14_NV</t>
  </si>
  <si>
    <t>GALD4LCTI_G14_NV</t>
  </si>
  <si>
    <t>GALLNP_G14_IV</t>
  </si>
  <si>
    <t>GALLNP_G14_NV</t>
  </si>
  <si>
    <t>GALSDR_G14_NV</t>
  </si>
  <si>
    <t>GALFSDR_G14_NV</t>
  </si>
  <si>
    <t>GALSDR_L_1YP_G14_NV</t>
  </si>
  <si>
    <t>GALSDR_FX_G14_NV</t>
  </si>
  <si>
    <t>GALSDR_VR_G14_NV</t>
  </si>
  <si>
    <t>GALCD_G14_NV</t>
  </si>
  <si>
    <t>GALDCD_G14_NV</t>
  </si>
  <si>
    <t>GALFCD_G14_NV</t>
  </si>
  <si>
    <t>GALCD_S_G14_NV</t>
  </si>
  <si>
    <t>GALCD_L_1Y_G14_NV</t>
  </si>
  <si>
    <t>GALCD_L_1YP_G14_NV</t>
  </si>
  <si>
    <t>GALCD_FX_G14_NV</t>
  </si>
  <si>
    <t>GALCD_FR_G14_NV</t>
  </si>
  <si>
    <t>GALCD_VR_G14_NV</t>
  </si>
  <si>
    <t>GALSO_G14_NV</t>
  </si>
  <si>
    <t>GALDSO_G14_NV</t>
  </si>
  <si>
    <t>GALFSO_G14_NV</t>
  </si>
  <si>
    <t>GALSO_S_G14_NV</t>
  </si>
  <si>
    <t>GALSO_XDC_S_G14_NV</t>
  </si>
  <si>
    <t>GALSO_L_1Y_G14_NV</t>
  </si>
  <si>
    <t>GALSO_XDC_L_1Y_G14_NV</t>
  </si>
  <si>
    <t>GALSO_L_1YP_G14_NV</t>
  </si>
  <si>
    <t>GALSO_FX_G14_NV</t>
  </si>
  <si>
    <t>GALSO_FR_G14_NV</t>
  </si>
  <si>
    <t>GALSO_VR_G14_NV</t>
  </si>
  <si>
    <t>GALSO_G14_MV</t>
  </si>
  <si>
    <t>GALDSO_G14_MV</t>
  </si>
  <si>
    <t>GALFSO_G14_MV</t>
  </si>
  <si>
    <t>GALSO_S_G14_MV</t>
  </si>
  <si>
    <t>GALSO_XDC_S_G14_MV</t>
  </si>
  <si>
    <t>GALSO_L_1Y_G14_MV</t>
  </si>
  <si>
    <t>GALSO_XDC_L_1Y_G14_MV</t>
  </si>
  <si>
    <t>GALSO_L_1YP_G14_MV</t>
  </si>
  <si>
    <t>GALSO_FX_G14_MV</t>
  </si>
  <si>
    <t>GALSO_FR_G14_MV</t>
  </si>
  <si>
    <t>GALSO_VR_G14_MV</t>
  </si>
  <si>
    <t>GALLS_G14_NV</t>
  </si>
  <si>
    <t>GALDLS_G14_NV</t>
  </si>
  <si>
    <t>GALFLS_G14_NV</t>
  </si>
  <si>
    <t>GALLS_S_G14_NV</t>
  </si>
  <si>
    <t>GALLS_XDC_S_G14_NV</t>
  </si>
  <si>
    <t>GALLS_L_1Y_G14_NV</t>
  </si>
  <si>
    <t>GALLS_XDC_L_1Y_G14_NV</t>
  </si>
  <si>
    <t>GALLS_L_1YP_G14_NV</t>
  </si>
  <si>
    <t>GALLS_FX_G14_NV</t>
  </si>
  <si>
    <t>GALLS_FR_G14_NV</t>
  </si>
  <si>
    <t>GALLS_VR_G14_NV</t>
  </si>
  <si>
    <t>GALIR_G14_NV</t>
  </si>
  <si>
    <t>GALDIR_G14_NV</t>
  </si>
  <si>
    <t>GALFIR_G14_NV</t>
  </si>
  <si>
    <t>GALIR_S_G14_NV</t>
  </si>
  <si>
    <t>GALIR_L_1Y_G14_NV</t>
  </si>
  <si>
    <t>GALIR_L_1YP_G14_NV</t>
  </si>
  <si>
    <t>GALIR_FX_G14_NV</t>
  </si>
  <si>
    <t>GALIR_FR_G14_NV</t>
  </si>
  <si>
    <t>GALIR_VR_G14_NV</t>
  </si>
  <si>
    <t>GALO_G14_NV</t>
  </si>
  <si>
    <t>GALDO_G14_NV</t>
  </si>
  <si>
    <t>GALFO_G14_NV</t>
  </si>
  <si>
    <t>GALO_S_G14_NV</t>
  </si>
  <si>
    <t>GALO_L_1Y_G14_NV</t>
  </si>
  <si>
    <t>GALO_L_1YP_G14_NV</t>
  </si>
  <si>
    <t>GALO_FX_G14_NV</t>
  </si>
  <si>
    <t>GALO_FR_G14_NV</t>
  </si>
  <si>
    <t>GALO_VR_G14_NV</t>
  </si>
  <si>
    <t>GALSDR_G14_FV</t>
  </si>
  <si>
    <t>GALFSDR_G14_FV</t>
  </si>
  <si>
    <t>GALSDR_L_1YP_G14_FV</t>
  </si>
  <si>
    <t>GALSDR_FX_G14_FV</t>
  </si>
  <si>
    <t>GALSDR_VR_G14_FV</t>
  </si>
  <si>
    <t>GALCD_G14_FV</t>
  </si>
  <si>
    <t>GALDCD_G14_FV</t>
  </si>
  <si>
    <t>GALFCD_G14_FV</t>
  </si>
  <si>
    <t>GALCD_S_G14_FV</t>
  </si>
  <si>
    <t>GALCD_L_1Y_G14_FV</t>
  </si>
  <si>
    <t>GALCD_L_1YP_G14_FV</t>
  </si>
  <si>
    <t>GALCD_FX_G14_FV</t>
  </si>
  <si>
    <t>GALCD_FR_G14_FV</t>
  </si>
  <si>
    <t>GALCD_VR_G14_FV</t>
  </si>
  <si>
    <t>GALSO_G14_FV</t>
  </si>
  <si>
    <t>GALDSO_G14_FV</t>
  </si>
  <si>
    <t>GALFSO_G14_FV</t>
  </si>
  <si>
    <t>GALSO_S_G14_FV</t>
  </si>
  <si>
    <t>GALSO_XDC_S_G14_FV</t>
  </si>
  <si>
    <t>GALSO_L_1Y_G14_FV</t>
  </si>
  <si>
    <t>GALSO_XDC_L_1Y_G14_FV</t>
  </si>
  <si>
    <t>GALSO_L_1YP_G14_FV</t>
  </si>
  <si>
    <t>GALSO_FX_G14_FV</t>
  </si>
  <si>
    <t>GALSO_FR_G14_FV</t>
  </si>
  <si>
    <t>GALSO_VR_G14_FV</t>
  </si>
  <si>
    <t>GALLS_G14_FV</t>
  </si>
  <si>
    <t>GALDLS_G14_FV</t>
  </si>
  <si>
    <t>GALFLS_G14_FV</t>
  </si>
  <si>
    <t>GALLS_S_G14_FV</t>
  </si>
  <si>
    <t>GALLS_XDC_S_G14_FV</t>
  </si>
  <si>
    <t>GALLS_L_1Y_G14_FV</t>
  </si>
  <si>
    <t>GALLS_XDC_L_1Y_G14_FV</t>
  </si>
  <si>
    <t>GALLS_L_1YP_G14_FV</t>
  </si>
  <si>
    <t>GALLS_FX_G14_FV</t>
  </si>
  <si>
    <t>GALLS_FR_G14_FV</t>
  </si>
  <si>
    <t>GALLS_VR_G14_FV</t>
  </si>
  <si>
    <t>GALIR_G14_FV</t>
  </si>
  <si>
    <t>GALDIR_G14_FV</t>
  </si>
  <si>
    <t>GALFIR_G14_FV</t>
  </si>
  <si>
    <t>GALIR_S_G14_FV</t>
  </si>
  <si>
    <t>GALIR_L_1Y_G14_FV</t>
  </si>
  <si>
    <t>GALIR_L_1YP_G14_FV</t>
  </si>
  <si>
    <t>GALIR_FX_G14_FV</t>
  </si>
  <si>
    <t>GALIR_FR_G14_FV</t>
  </si>
  <si>
    <t>GALIR_VR_G14_FV</t>
  </si>
  <si>
    <t>GALO_G14_FV</t>
  </si>
  <si>
    <t>GALDO_G14_FV</t>
  </si>
  <si>
    <t>GALFO_G14_FV</t>
  </si>
  <si>
    <t>GALO_S_G14_FV</t>
  </si>
  <si>
    <t>GALO_L_1Y_G14_FV</t>
  </si>
  <si>
    <t>GALO_L_1YP_G14_FV</t>
  </si>
  <si>
    <t>GALO_FX_G14_FV</t>
  </si>
  <si>
    <t>GALO_FR_G14_FV</t>
  </si>
  <si>
    <t>GALO_VR_G14_FV</t>
  </si>
  <si>
    <t>GEGPC_G14</t>
  </si>
  <si>
    <t>GEGPF_G14</t>
  </si>
  <si>
    <t>GEGPG_G14</t>
  </si>
  <si>
    <t>GEGPB_G14</t>
  </si>
  <si>
    <t>GEGPR_G14</t>
  </si>
  <si>
    <t>GEGPO_G14</t>
  </si>
  <si>
    <t>GEDM_G14</t>
  </si>
  <si>
    <t>GEDC_G14</t>
  </si>
  <si>
    <t>GEDF_G14</t>
  </si>
  <si>
    <t>GEDR_G14</t>
  </si>
  <si>
    <t>GEDNEC_G14</t>
  </si>
  <si>
    <t>GEPS_G14</t>
  </si>
  <si>
    <t>GEPF_G14</t>
  </si>
  <si>
    <t>GEPL_G14</t>
  </si>
  <si>
    <t>GEPP_G14</t>
  </si>
  <si>
    <t>GEPR_G14</t>
  </si>
  <si>
    <t>GEPO_G14</t>
  </si>
  <si>
    <t>GEAG_G14</t>
  </si>
  <si>
    <t>GEAO_G14</t>
  </si>
  <si>
    <t>GEAR_G14</t>
  </si>
  <si>
    <t>GEAE_G14</t>
  </si>
  <si>
    <t>GENM_G14</t>
  </si>
  <si>
    <t>GENW_G14</t>
  </si>
  <si>
    <t>GENP_G14</t>
  </si>
  <si>
    <t>GENB_G14</t>
  </si>
  <si>
    <t>GENR_G14</t>
  </si>
  <si>
    <t>GENO_G14</t>
  </si>
  <si>
    <t>GEHH_G14</t>
  </si>
  <si>
    <t>GEHC_G14</t>
  </si>
  <si>
    <t>GEHW_G14</t>
  </si>
  <si>
    <t>GEHS_G14</t>
  </si>
  <si>
    <t>GEHR_G14</t>
  </si>
  <si>
    <t>GEHO_G14</t>
  </si>
  <si>
    <t>GELM_G14</t>
  </si>
  <si>
    <t>GELR_G14</t>
  </si>
  <si>
    <t>GELHE_G14</t>
  </si>
  <si>
    <t>GERS_G14</t>
  </si>
  <si>
    <t>GERC_G14</t>
  </si>
  <si>
    <t>GERB_G14</t>
  </si>
  <si>
    <t>GERR_G14</t>
  </si>
  <si>
    <t>GERD_G14</t>
  </si>
  <si>
    <t>GERO_G14</t>
  </si>
  <si>
    <t>GEEN_G14</t>
  </si>
  <si>
    <t>GEEL_G14</t>
  </si>
  <si>
    <t>GEEE_G14</t>
  </si>
  <si>
    <t>GEER_G14</t>
  </si>
  <si>
    <t>GEEO_G14</t>
  </si>
  <si>
    <t>GESPS_G14</t>
  </si>
  <si>
    <t>GESPA_G14</t>
  </si>
  <si>
    <t>GESPV_G14</t>
  </si>
  <si>
    <t>GESPF_G14</t>
  </si>
  <si>
    <t>GESPU_G14</t>
  </si>
  <si>
    <t>GESPH_G14</t>
  </si>
  <si>
    <t>GESPX_G14</t>
  </si>
  <si>
    <t>GESPR_G14</t>
  </si>
  <si>
    <t>GESPP_G14</t>
  </si>
  <si>
    <t>GADAFD_T_GG_G14</t>
  </si>
  <si>
    <t>GADAFD_T_CG_G14</t>
  </si>
  <si>
    <t>GADAFD_T_BCG_G14</t>
  </si>
  <si>
    <t>GADAFD_T_EBG_G14</t>
  </si>
  <si>
    <t>GADAFD_T_SSF_G14</t>
  </si>
  <si>
    <t>GADAFD_T_RG_G14</t>
  </si>
  <si>
    <t>GADAFD_T_LG_G14</t>
  </si>
  <si>
    <t>GADAFD_T_CB_G14</t>
  </si>
  <si>
    <t>GADAFD_T_ODX_G14</t>
  </si>
  <si>
    <t>GADAFD_T_OFX_G14</t>
  </si>
  <si>
    <t>GADAFD_T_NFC_G14</t>
  </si>
  <si>
    <t>GADAFD_T_HN_G14</t>
  </si>
  <si>
    <t>GADAFF_T_GG_G14</t>
  </si>
  <si>
    <t>GADAFF_T_IO_G14</t>
  </si>
  <si>
    <t>GADAFF_T_FCXIO_G14</t>
  </si>
  <si>
    <t>GADAFF_T_NRESO_G14</t>
  </si>
  <si>
    <t>GADLD_T_GG_G14</t>
  </si>
  <si>
    <t>GADLD_T_CG_G14</t>
  </si>
  <si>
    <t>GADLD_T_BCG_G14</t>
  </si>
  <si>
    <t>GADLD_T_EBG_G14</t>
  </si>
  <si>
    <t>GADLD_T_SSF_G14</t>
  </si>
  <si>
    <t>GADLD_T_RG_G14</t>
  </si>
  <si>
    <t>GADLD_T_LG_G14</t>
  </si>
  <si>
    <t>GADLD_T_CB_G14</t>
  </si>
  <si>
    <t>GADLD_T_ODX_G14</t>
  </si>
  <si>
    <t>GADLD_T_OFX_G14</t>
  </si>
  <si>
    <t>GADLD_T_NFC_G14</t>
  </si>
  <si>
    <t>GADLD_T_HN_G14</t>
  </si>
  <si>
    <t>GADLF_T_GG_G14</t>
  </si>
  <si>
    <t>GADLF_T_IO_G14</t>
  </si>
  <si>
    <t>GADLF_T_FCXIO_G14</t>
  </si>
  <si>
    <t>GADLF_T_NRESO_G14</t>
  </si>
  <si>
    <t>GAAFD_CG_G14</t>
  </si>
  <si>
    <t>GAAFD_BCG_G14</t>
  </si>
  <si>
    <t>GAAFD_EBG_G14</t>
  </si>
  <si>
    <t>GAAFD_SSF_G14</t>
  </si>
  <si>
    <t>GAAFD_RG_G14</t>
  </si>
  <si>
    <t>GAAFD_LG_G14</t>
  </si>
  <si>
    <t>GAAFD_CB_G14</t>
  </si>
  <si>
    <t>GAAFD_ODX_G14</t>
  </si>
  <si>
    <t>GAAFD_OFX_G14</t>
  </si>
  <si>
    <t>GAAFD_NFC_G14</t>
  </si>
  <si>
    <t>GAAFD_HN_G14</t>
  </si>
  <si>
    <t>GAAFF_GG_G14</t>
  </si>
  <si>
    <t>GAAFF_IO_G14</t>
  </si>
  <si>
    <t>GAAFF_FCXIO_G14</t>
  </si>
  <si>
    <t>GAAFF_NRESO_G14</t>
  </si>
  <si>
    <t>GALD_GG_G14</t>
  </si>
  <si>
    <t>GALD_CG_G14</t>
  </si>
  <si>
    <t>GALD_BCG_G14</t>
  </si>
  <si>
    <t>GALD_EBG_G14</t>
  </si>
  <si>
    <t>GALD_SSF_G14</t>
  </si>
  <si>
    <t>GALD_RG_G14</t>
  </si>
  <si>
    <t>GALD_LG_G14</t>
  </si>
  <si>
    <t>GALD_CB_G14</t>
  </si>
  <si>
    <t>GALD_ODX_G14</t>
  </si>
  <si>
    <t>GALD_OFX_G14</t>
  </si>
  <si>
    <t>GALD_NFC_G14</t>
  </si>
  <si>
    <t>GALD_HN_G14</t>
  </si>
  <si>
    <t>GALF_GG_G14</t>
  </si>
  <si>
    <t>GALF_IO_G14</t>
  </si>
  <si>
    <t>GALF_FCXIO_G14</t>
  </si>
  <si>
    <t>GALF_NRESO_G14</t>
  </si>
  <si>
    <t>GAAFD_GG_G14</t>
  </si>
  <si>
    <t>GADLD4_GR_O_G14_MV</t>
  </si>
  <si>
    <t>GALD3_O_G14_MV</t>
  </si>
  <si>
    <t>GALD2_O_G14_MV</t>
  </si>
  <si>
    <t>GALD1_O_G14_MV</t>
  </si>
  <si>
    <t>GRT_BCG_G14</t>
  </si>
  <si>
    <t>GRT_EBG_G14</t>
  </si>
  <si>
    <t>GRT_CG_G14</t>
  </si>
  <si>
    <t>GRT_SSF_G14</t>
  </si>
  <si>
    <t>GRT_RG_G14</t>
  </si>
  <si>
    <t>GRT_LG_G14</t>
  </si>
  <si>
    <t>GEOMC_BCG_G14</t>
  </si>
  <si>
    <t>GEOMC_EBG_G14</t>
  </si>
  <si>
    <t>GEOMC_CG_G14</t>
  </si>
  <si>
    <t>GEOMC_SSF_G14</t>
  </si>
  <si>
    <t>GEOMC_RG_G14</t>
  </si>
  <si>
    <t>GEOMC_LG_G14</t>
  </si>
  <si>
    <t>GRGC_BCG_G14</t>
  </si>
  <si>
    <t>GRGC_EBG_G14</t>
  </si>
  <si>
    <t>GRGC_CG_G14</t>
  </si>
  <si>
    <t>GRGC_SSF_G14</t>
  </si>
  <si>
    <t>GRGC_RG_G14</t>
  </si>
  <si>
    <t>GRGC_LG_G14</t>
  </si>
  <si>
    <t>GEGC_BCG_G14</t>
  </si>
  <si>
    <t>GEGC_EBG_G14</t>
  </si>
  <si>
    <t>GEGC_CG_G14</t>
  </si>
  <si>
    <t>GEGC_SSF_G14</t>
  </si>
  <si>
    <t>GEGC_RG_G14</t>
  </si>
  <si>
    <t>GEGC_LG_G14</t>
  </si>
  <si>
    <t>GRGK_BCG_G14</t>
  </si>
  <si>
    <t>GRGK_EBG_G14</t>
  </si>
  <si>
    <t>GRGK_CG_G14</t>
  </si>
  <si>
    <t>GRGK_SSF_G14</t>
  </si>
  <si>
    <t>GRGK_RG_G14</t>
  </si>
  <si>
    <t>GRGK_LG_G14</t>
  </si>
  <si>
    <t>GEGK_BCG_G14</t>
  </si>
  <si>
    <t>GEGK_EBG_G14</t>
  </si>
  <si>
    <t>GEGK_CG_G14</t>
  </si>
  <si>
    <t>GEGK_SSF_G14</t>
  </si>
  <si>
    <t>GEGK_RG_G14</t>
  </si>
  <si>
    <t>GEGK_LG_G14</t>
  </si>
  <si>
    <t>GADAFDS_T_BCG_G14</t>
  </si>
  <si>
    <t>GADAFDS_T_EBG_G14</t>
  </si>
  <si>
    <t>GADAFDS_T_CG_G14</t>
  </si>
  <si>
    <t>GADAFDS_T_SSF_G14</t>
  </si>
  <si>
    <t>GADAFDS_T_RG_G14</t>
  </si>
  <si>
    <t>GADAFDS_T_LG_G14</t>
  </si>
  <si>
    <t>GADLDS_T_BCG_G14</t>
  </si>
  <si>
    <t>GADLDS_T_EBG_G14</t>
  </si>
  <si>
    <t>GADLDS_T_CG_G14</t>
  </si>
  <si>
    <t>GADLDS_T_SSF_G14</t>
  </si>
  <si>
    <t>GADLDS_T_RG_G14</t>
  </si>
  <si>
    <t>GADLDS_T_LG_G14</t>
  </si>
  <si>
    <t>GADAFDL_T_BCG_G14</t>
  </si>
  <si>
    <t>GADAFDL_T_EBG_G14</t>
  </si>
  <si>
    <t>GADAFDL_T_CG_G14</t>
  </si>
  <si>
    <t>GADAFDL_T_SSF_G14</t>
  </si>
  <si>
    <t>GADAFDL_T_RG_G14</t>
  </si>
  <si>
    <t>GADAFDL_T_LG_G14</t>
  </si>
  <si>
    <t>GADLDL_T_BCG_G14</t>
  </si>
  <si>
    <t>GADLDL_T_EBG_G14</t>
  </si>
  <si>
    <t>GADLDL_T_CG_G14</t>
  </si>
  <si>
    <t>GADLDL_T_SSF_G14</t>
  </si>
  <si>
    <t>GADLDL_T_RG_G14</t>
  </si>
  <si>
    <t>GADLDL_T_LG_G14</t>
  </si>
  <si>
    <t>GAAFDS_BCG_G14</t>
  </si>
  <si>
    <t>GAAFDS_EBG_G14</t>
  </si>
  <si>
    <t>GAAFDS_CG_G14</t>
  </si>
  <si>
    <t>GAAFDS_SSF_G14</t>
  </si>
  <si>
    <t>GAAFDS_RG_G14</t>
  </si>
  <si>
    <t>GAAFDS_LG_G14</t>
  </si>
  <si>
    <t>GALDS_BCG_G14</t>
  </si>
  <si>
    <t>GALDS_EBG_G14</t>
  </si>
  <si>
    <t>GALDS_CG_G14</t>
  </si>
  <si>
    <t>GALDS_SSF_G14</t>
  </si>
  <si>
    <t>GALDS_RG_G14</t>
  </si>
  <si>
    <t>GALDS_LG_G14</t>
  </si>
  <si>
    <t>GAAFDL_BCG_G14</t>
  </si>
  <si>
    <t>GAAFDL_EBG_G14</t>
  </si>
  <si>
    <t>GAAFDL_CG_G14</t>
  </si>
  <si>
    <t>GAAFDL_SSF_G14</t>
  </si>
  <si>
    <t>GAAFDL_RG_G14</t>
  </si>
  <si>
    <t>GAAFDL_LG_G14</t>
  </si>
  <si>
    <t>GALDL_BCG_G14</t>
  </si>
  <si>
    <t>GALDL_EBG_G14</t>
  </si>
  <si>
    <t>GALDL_CG_G14</t>
  </si>
  <si>
    <t>GALDL_SSF_G14</t>
  </si>
  <si>
    <t>GALDL_RG_G14</t>
  </si>
  <si>
    <t>GALDL_LG_G14</t>
  </si>
  <si>
    <t>Scale</t>
  </si>
  <si>
    <t>GRTPN_G14</t>
  </si>
  <si>
    <t>GROOP_G14</t>
  </si>
  <si>
    <t>GROOPP_G14</t>
  </si>
  <si>
    <t>GROOPF_G14</t>
  </si>
  <si>
    <t>GROOPC_G14</t>
  </si>
  <si>
    <t>GROOC_G14</t>
  </si>
  <si>
    <t>GEOO_G14</t>
  </si>
  <si>
    <t>GEOOP_G14</t>
  </si>
  <si>
    <t>GEOOPP_G14</t>
  </si>
  <si>
    <t>GEOOPF_G14</t>
  </si>
  <si>
    <t>GEOOPC_G14</t>
  </si>
  <si>
    <t>GEOOC_G14</t>
  </si>
  <si>
    <t>GAAN_G14_L1</t>
  </si>
  <si>
    <t>GAAF_G14_L1</t>
  </si>
  <si>
    <t>GAL_G14_L1</t>
  </si>
  <si>
    <t>GALD1_G14_MV_L1</t>
  </si>
  <si>
    <t>GALCD_XDC_G14_NV</t>
  </si>
  <si>
    <t>GALSO_XDC_G14_NV</t>
  </si>
  <si>
    <t>GALSO_XDC_G14_MV</t>
  </si>
  <si>
    <t>GALLS_XDC_G14_NV</t>
  </si>
  <si>
    <t>GALIR_XDC_G14_NV</t>
  </si>
  <si>
    <t>GALO_XDC_G14_NV</t>
  </si>
  <si>
    <t>GALCD_XDC_G14_FV</t>
  </si>
  <si>
    <t>GALSO_XDC_G14_FV</t>
  </si>
  <si>
    <t>GALLS_XDC_G14_FV</t>
  </si>
  <si>
    <t>GALIR_XDC_G14_FV</t>
  </si>
  <si>
    <t>GALO_XDC_G14_FV</t>
  </si>
  <si>
    <t>GEST_PCO_G14</t>
  </si>
  <si>
    <t>GALA_G14</t>
  </si>
  <si>
    <t>GADLD4_GR_V_G14_MV</t>
  </si>
  <si>
    <t>NGRSC</t>
  </si>
  <si>
    <t>NGROXNM</t>
  </si>
  <si>
    <t>NGROM</t>
  </si>
  <si>
    <t>NGROF</t>
  </si>
  <si>
    <t>NGROPNM</t>
  </si>
  <si>
    <t>NGRI</t>
  </si>
  <si>
    <t>NYL</t>
  </si>
  <si>
    <t>NGDPICON</t>
  </si>
  <si>
    <t>NYFC</t>
  </si>
  <si>
    <t>NGEI</t>
  </si>
  <si>
    <t>NGESB</t>
  </si>
  <si>
    <t>NGESBXIK</t>
  </si>
  <si>
    <t>NGESBIK</t>
  </si>
  <si>
    <t>NGEN</t>
  </si>
  <si>
    <r>
      <t xml:space="preserve">Capital grants payable to other general government units (row)
</t>
    </r>
    <r>
      <rPr>
        <sz val="7"/>
        <rFont val="Segoe UI"/>
        <family val="2"/>
      </rPr>
      <t>[GFS code 2632]</t>
    </r>
  </si>
  <si>
    <r>
      <t>Capital grants receivable from other general government units (column)</t>
    </r>
    <r>
      <rPr>
        <sz val="7"/>
        <rFont val="Segoe UI"/>
        <family val="2"/>
      </rPr>
      <t xml:space="preserve">   [GFS code 1332]</t>
    </r>
  </si>
  <si>
    <r>
      <t xml:space="preserve">Total grants payable to other general government units (row)
</t>
    </r>
    <r>
      <rPr>
        <sz val="7"/>
        <rFont val="Segoe UI"/>
        <family val="2"/>
      </rPr>
      <t>[GFS code 263]</t>
    </r>
  </si>
  <si>
    <t>Million</t>
  </si>
  <si>
    <t>Billion</t>
  </si>
  <si>
    <t>CPB</t>
  </si>
  <si>
    <t>GXOPB_G14_CA</t>
  </si>
  <si>
    <t>PB</t>
  </si>
  <si>
    <t>ALL_SECTORS</t>
  </si>
  <si>
    <t>Afghanis (AFN)</t>
  </si>
  <si>
    <t>Albanian Leks (ALL)</t>
  </si>
  <si>
    <t>Algerian Dinars (DZD)</t>
  </si>
  <si>
    <t>Angolan Kwanzas (AOA)</t>
  </si>
  <si>
    <t>Argentine Pesos (ARS)</t>
  </si>
  <si>
    <t>Armenian Drams (AMD)</t>
  </si>
  <si>
    <t>Aruban Florins (AWG)</t>
  </si>
  <si>
    <t>Australian Dollars (AUD)</t>
  </si>
  <si>
    <t>Azerbaijan Manat (AZN)</t>
  </si>
  <si>
    <t>Bahamian Dollars (BSD)</t>
  </si>
  <si>
    <t>Bahrain Dinars (BHD)</t>
  </si>
  <si>
    <t>Bangladesh Taka (BDT)</t>
  </si>
  <si>
    <t>Barbados Dollars (BBD)</t>
  </si>
  <si>
    <t>Belize Dollars (BZD)</t>
  </si>
  <si>
    <t>Bermuda Dollars (BMD)</t>
  </si>
  <si>
    <t>Bhutanese Ngultrum (BTN)</t>
  </si>
  <si>
    <t>Bolivianos (BOB)</t>
  </si>
  <si>
    <t>Botswana Pula (BWP)</t>
  </si>
  <si>
    <t>Brazilian Reais (BRL)</t>
  </si>
  <si>
    <t>Brunei Dollars (BND)</t>
  </si>
  <si>
    <t>Bulgarian Leva (BGN)</t>
  </si>
  <si>
    <t>Burundi Francs (BIF)</t>
  </si>
  <si>
    <t>Cambodian Riels (KHR)</t>
  </si>
  <si>
    <t>Canadian Dollars (CAD)</t>
  </si>
  <si>
    <t>Cape Verde Escudos (CVE)</t>
  </si>
  <si>
    <t>Cayman Islands Dollars (KYD)</t>
  </si>
  <si>
    <t>CFA (BCEAO) Francs (XOF)</t>
  </si>
  <si>
    <t>CFA (BEAC) Francs (XAF)</t>
  </si>
  <si>
    <t>CFP Francs (XPF)</t>
  </si>
  <si>
    <t>Chilean Pesos (CLP)</t>
  </si>
  <si>
    <t>Chinese Yuan (CNY)</t>
  </si>
  <si>
    <t>Colombian Pesos (COP)</t>
  </si>
  <si>
    <t>Comorian Francs (KMF)</t>
  </si>
  <si>
    <t>Congo Francs (CDF)</t>
  </si>
  <si>
    <t>Convertible Marka (BAM)</t>
  </si>
  <si>
    <t>Costa Rican Colones (CRC)</t>
  </si>
  <si>
    <t>Croatian Kunas (HRK)</t>
  </si>
  <si>
    <t>Cuban Pesos (CUP)</t>
  </si>
  <si>
    <t>Czech Koruny (CZK)</t>
  </si>
  <si>
    <t>Danish Kroner (DKK)</t>
  </si>
  <si>
    <t>Djibouti Francs (DJF)</t>
  </si>
  <si>
    <t>Dominican Pesos (DOP)</t>
  </si>
  <si>
    <t>Eastern Caribbean Dollars (XCD)</t>
  </si>
  <si>
    <t>Egyptian Pounds (EGP)</t>
  </si>
  <si>
    <t>Eritrean Nakfa (ERN)</t>
  </si>
  <si>
    <t>Ethiopian Birr (ETB)</t>
  </si>
  <si>
    <t>Euros (EUR)</t>
  </si>
  <si>
    <t>Falkland Islands Pounds (FKP)</t>
  </si>
  <si>
    <t>Fiji Dollars (FJD)</t>
  </si>
  <si>
    <t>Gambian Dalasis (GMD)</t>
  </si>
  <si>
    <t>Georgian Lari (GEL)</t>
  </si>
  <si>
    <t>Ghanaian Cedis (GHS)</t>
  </si>
  <si>
    <t>Gibraltar Pounds (GIP)</t>
  </si>
  <si>
    <t>Guatemalan Quetzales (GTQ)</t>
  </si>
  <si>
    <t>Guinean Francs (GNF)</t>
  </si>
  <si>
    <t>Guyana Dollars (GYD)</t>
  </si>
  <si>
    <t>Haitian Gourdes (HTG)</t>
  </si>
  <si>
    <t>Honduran Lempiras (HNL)</t>
  </si>
  <si>
    <t>Hong Kong Dollars (HKD)</t>
  </si>
  <si>
    <t>Hungarian Forint (HUF)</t>
  </si>
  <si>
    <t>Indian Rupees (INR)</t>
  </si>
  <si>
    <t>Indonesian Rupiah (IDR)</t>
  </si>
  <si>
    <t>Iranian Rials (IRR)</t>
  </si>
  <si>
    <t>Iraqi Dinars (IQD)</t>
  </si>
  <si>
    <t>Israeli New Sheqalim (ILS)</t>
  </si>
  <si>
    <t>Jamaican Dollars (JMD)</t>
  </si>
  <si>
    <t>Japanese Yen (JPY)</t>
  </si>
  <si>
    <t>Jordanian Dinars (JOD)</t>
  </si>
  <si>
    <t>Kazakhstani Tenge (KZT)</t>
  </si>
  <si>
    <t>Kenya Shillings (KES)</t>
  </si>
  <si>
    <t>Korean Democratic People’S Republic Won (KPW)</t>
  </si>
  <si>
    <t>Korean Won (KRW)</t>
  </si>
  <si>
    <t>Kuwaiti Dinars (KWD)</t>
  </si>
  <si>
    <t>Kyrgyz Soms (KGS)</t>
  </si>
  <si>
    <t>Lao Kip (LAK)</t>
  </si>
  <si>
    <t>Lebanese Pounds (LBP)</t>
  </si>
  <si>
    <t>Lesotho Maloti (LSL)</t>
  </si>
  <si>
    <t>Liberian Dollars (LRD)</t>
  </si>
  <si>
    <t>Libyan Dinars (LYD)</t>
  </si>
  <si>
    <t>Lithuanian Litai (LTL)</t>
  </si>
  <si>
    <t>Macao Patacas (MOP)</t>
  </si>
  <si>
    <t>Macedonian Denars (MKD)</t>
  </si>
  <si>
    <t>Malagasy Ariary (MGA)</t>
  </si>
  <si>
    <t>Malawi Kwacha (MWK)</t>
  </si>
  <si>
    <t>Malaysian Ringgit (MYR)</t>
  </si>
  <si>
    <t>Maldivian Rufiyaa (MVR)</t>
  </si>
  <si>
    <t>Mauritanian Ouguiyas (MRO)</t>
  </si>
  <si>
    <t>Mauritian Rupees (MUR)</t>
  </si>
  <si>
    <t>Mexican Pesos (MXN)</t>
  </si>
  <si>
    <t>Moldovan Lei (MDL)</t>
  </si>
  <si>
    <t>Mongolian Togrogs (MNT)</t>
  </si>
  <si>
    <t>Moroccan Dirhams (MAD)</t>
  </si>
  <si>
    <t>Mozambican Meticais (MZN)</t>
  </si>
  <si>
    <t>Myanmar Kyats (MMK)</t>
  </si>
  <si>
    <t>Namibia Dollars (NAD)</t>
  </si>
  <si>
    <t>Nepalese Rupees (NPR)</t>
  </si>
  <si>
    <t>Netherlands Antillean Guilders (ANG)</t>
  </si>
  <si>
    <t>New Taiwan Dollars (TWD)</t>
  </si>
  <si>
    <t>New Zealand Dollars (NZD)</t>
  </si>
  <si>
    <t>Nigerian Naira (NGN)</t>
  </si>
  <si>
    <t>Norwegian Kroner (NOK)</t>
  </si>
  <si>
    <t>Pakistani Rupees (PKR)</t>
  </si>
  <si>
    <t>Panamanian Balboas (PAB)</t>
  </si>
  <si>
    <t>Papua New Guinea Kina (PGK)</t>
  </si>
  <si>
    <t>Peruvian Nuevos Soles (PEN)</t>
  </si>
  <si>
    <t>Philippine Pesos (PHP)</t>
  </si>
  <si>
    <t>Polish Zlotys (PLN)</t>
  </si>
  <si>
    <t>Pounds Sterling (GBP)</t>
  </si>
  <si>
    <t>Qatar Riyals (QAR)</t>
  </si>
  <si>
    <t>Rials Omani (OMR)</t>
  </si>
  <si>
    <t>Romanian Lei (RON)</t>
  </si>
  <si>
    <t>Russian Rubles (RUB)</t>
  </si>
  <si>
    <t>Saint Helenian Pounds (SHP)</t>
  </si>
  <si>
    <t>Salvadoran Colones (SVC)</t>
  </si>
  <si>
    <t>Samoa Tala (WST)</t>
  </si>
  <si>
    <t>Saudi Arabian Riyals (SAR)</t>
  </si>
  <si>
    <t>Serbian Dinars (RSD)</t>
  </si>
  <si>
    <t>Seychelles Rupees (SCR)</t>
  </si>
  <si>
    <t>Sierra Leonean Leones (SLL)</t>
  </si>
  <si>
    <t>Singapore Dollars (SGD)</t>
  </si>
  <si>
    <t>Solomon Islands Dollars (SBD)</t>
  </si>
  <si>
    <t>Somali Shillings (SOS)</t>
  </si>
  <si>
    <t>South African Rand (ZAR)</t>
  </si>
  <si>
    <t>South Sudanese Pounds (SSP)</t>
  </si>
  <si>
    <t>Special Drawing Rights (XDR)</t>
  </si>
  <si>
    <t>Sri Lanka Rupees (LKR)</t>
  </si>
  <si>
    <t>Sudanese Pounds (SDG)</t>
  </si>
  <si>
    <t>Surinamese Dollars (SRD)</t>
  </si>
  <si>
    <t>Swaziland Emalangeni (SZL)</t>
  </si>
  <si>
    <t>Swedish Kronor (SEK)</t>
  </si>
  <si>
    <t>Swiss Francs (CHF)</t>
  </si>
  <si>
    <t>Syrian Pounds (SYP)</t>
  </si>
  <si>
    <t>Tajik Somoni (TJS)</t>
  </si>
  <si>
    <t>Tanzania Shillings (TZS)</t>
  </si>
  <si>
    <t>Thai Baht (THB)</t>
  </si>
  <si>
    <t>Trinidad and Tobago Dollars (TTD)</t>
  </si>
  <si>
    <t>Tunisian Dinars (TND)</t>
  </si>
  <si>
    <t>Turkish Liras (TRY)</t>
  </si>
  <si>
    <t>Turkmen Manat (TMT)</t>
  </si>
  <si>
    <t>Tuvaluan Dollars (TVD)</t>
  </si>
  <si>
    <t>U.A.E. Dirhams (AED)</t>
  </si>
  <si>
    <t>U.S. Dollars (USD)</t>
  </si>
  <si>
    <t>Uganda Shillings (UGX)</t>
  </si>
  <si>
    <t>Ukrainian Hryvnias (UAH)</t>
  </si>
  <si>
    <t>Uruguayan Pesos (UYU)</t>
  </si>
  <si>
    <t>Uzbek Sum (UZS)</t>
  </si>
  <si>
    <t>Vanuatu Vatu (VUV)</t>
  </si>
  <si>
    <t>Vietnamese Dong (VND)</t>
  </si>
  <si>
    <t>Yemeni Rial (YER)</t>
  </si>
  <si>
    <t>Zambian Kwacha (ZMW)</t>
  </si>
  <si>
    <t>Zimbabwe Dollars (ZWD)</t>
  </si>
  <si>
    <t>Currency Name</t>
  </si>
  <si>
    <t>CA or AC?</t>
  </si>
  <si>
    <t>A, P, or E?</t>
  </si>
  <si>
    <t>GR or NT?</t>
  </si>
  <si>
    <t>Year ending</t>
  </si>
  <si>
    <t>Icelandic Kronur (ISK)</t>
  </si>
  <si>
    <t>Nicaraguan Cordobas (NIO)</t>
  </si>
  <si>
    <t>Paraguayan Guaranies (PYG)</t>
  </si>
  <si>
    <t>Sao Tome and Principe Dobras (STD)</t>
  </si>
  <si>
    <t>Tongan Pa Anga (TOP)</t>
  </si>
  <si>
    <t>Venezuelan Bolivares (VEF)</t>
  </si>
  <si>
    <t>FISCAL_END_MONTH</t>
  </si>
  <si>
    <t>FISCAL_END_DAY</t>
  </si>
  <si>
    <t>ALL_REPORTED_INDICATORS_NATURE_OF_DATA</t>
  </si>
  <si>
    <t>GFSM2014_V1.5</t>
  </si>
  <si>
    <t>7=701+702+703+704+705+706+707+708+709+710</t>
  </si>
  <si>
    <t>NA</t>
  </si>
  <si>
    <t>Yes</t>
  </si>
  <si>
    <t>No</t>
  </si>
  <si>
    <t>Rwanda Francs (RWF)</t>
  </si>
  <si>
    <t>Pour mémoire:</t>
  </si>
  <si>
    <t>Global=0=1-2-31-32+33+NLBz</t>
  </si>
  <si>
    <t>Global=0=1-2M-32+33+NLBz</t>
  </si>
  <si>
    <t>Global=0=C1-C2-C31+CSDz+NFB-NCB</t>
  </si>
  <si>
    <t>Global=0=C1-C2M+CSDz+NFB-NCB</t>
  </si>
  <si>
    <t>Les postes exclusifs aux relations avec les unités hors administrations ne doivent pas être consolidés</t>
  </si>
  <si>
    <t>Position de stocks d'ouverture ....................................................................................................................................................................</t>
  </si>
  <si>
    <t>Total autres flux économiques ..................................................................................................................................................................</t>
  </si>
  <si>
    <t>Position de stock de clôture....................................................................................................................................................</t>
  </si>
  <si>
    <t>PASSIFS DE DETTE D1</t>
  </si>
  <si>
    <t>Écart stocks-flux passifs de dette D1 (6MD1t-6MD1t-1-3MD1-9MD1) ...................................................................................................</t>
  </si>
  <si>
    <t>NFA=global=61t-61t-1-31-91-NFAz</t>
  </si>
  <si>
    <t>FA=global=62t-62t-1-32-92-FAz</t>
  </si>
  <si>
    <t>L=global=63t-63t-1-33-93-Lz</t>
  </si>
  <si>
    <t>NFW=global=6M2t-6M2t-1-3M2-9M2-6M2z</t>
  </si>
  <si>
    <t>D1=global=6MD1t-6MD1t-1-3MD1-9MD1-6MD1z</t>
  </si>
  <si>
    <t>Global=0=6t-(6t-1)-CNW+CNWz</t>
  </si>
  <si>
    <t>Dons en espèces/en nature</t>
  </si>
  <si>
    <t>Dons en espèces..............................................................................................................................................</t>
  </si>
  <si>
    <t>Dons en nature....................................................................................................................................................................</t>
  </si>
  <si>
    <t>Agrégats SCN</t>
  </si>
  <si>
    <t>Cotisations sociales [SCN] ..............................................................................................................................................</t>
  </si>
  <si>
    <t>Production, hors autre production non marchande [SCN] ..............................................................................................................................................</t>
  </si>
  <si>
    <t>Production marchande [SCN] ..............................................................................................................................................</t>
  </si>
  <si>
    <t>Production pour usage final propre [SCN] ..............................................................................................................................................</t>
  </si>
  <si>
    <t>Paiements pour autre production non marchande [SCN] ..............................................................................................................................................</t>
  </si>
  <si>
    <t>Intérêt [SCN] ....................................................................................................................................................................</t>
  </si>
  <si>
    <t xml:space="preserve">Intérêt intra-administration </t>
  </si>
  <si>
    <t>De l'administration centrale budgétaire .............................................................................................................................</t>
  </si>
  <si>
    <t>De l'administration centrale extrabudgétaire .............................................................................................................................</t>
  </si>
  <si>
    <t>De l'administration centrale .............................................................................................................................</t>
  </si>
  <si>
    <t>Des caisses de sécurité sociale .............................................................................................................................</t>
  </si>
  <si>
    <t>Des administrations d'États fédérés .............................................................................................................................</t>
  </si>
  <si>
    <t>Des admnistrations locales .............................................................................................................................</t>
  </si>
  <si>
    <t xml:space="preserve">Dons intra-administration </t>
  </si>
  <si>
    <t xml:space="preserve">Les montants consolidés doivent être les mêmes des deux côtés de l'opération </t>
  </si>
  <si>
    <t>Prestations sociales en espèces/en nature</t>
  </si>
  <si>
    <t>Prestations sociales en espèces..............................................................................................................................................</t>
  </si>
  <si>
    <t>Prestations sociales en nature....................................................................................................................................................................</t>
  </si>
  <si>
    <t>Rémunération des salariés [SCN] ........................................................................................................................................</t>
  </si>
  <si>
    <t>Consommation intermédiaire [SCN] .......................................................................................................................</t>
  </si>
  <si>
    <t>Consommation de capital fixe [SCN] ..........................................................................................................................</t>
  </si>
  <si>
    <t>Intérêts [SCN] ....................................................................................................................................................................</t>
  </si>
  <si>
    <t>Prestations sociales autres que transferts sociaux en nature - production non marchande [SCN] ................................................................................................................................................................</t>
  </si>
  <si>
    <t>Prestations sociales, autres que transferts sociaux en nature [SCN] ................................................................................................................................................................</t>
  </si>
  <si>
    <t>Transferts sociaux en nature - production marchande achetée [SCN] ................................................................................................................................................................</t>
  </si>
  <si>
    <t>Primes nettes d'assurance dommages [SCN] ................................................................................................................................................................</t>
  </si>
  <si>
    <t>À l'administration centrale budgétaire .............................................................................................................................</t>
  </si>
  <si>
    <t>À l'administration centrale extrabudgétaire .............................................................................................................................</t>
  </si>
  <si>
    <t>À l'administration centrale .............................................................................................................................</t>
  </si>
  <si>
    <t>Aux caisses de sécurité sociale .............................................................................................................................</t>
  </si>
  <si>
    <t>Aux administrations d'États fédérés .............................................................................................................................</t>
  </si>
  <si>
    <t>Aux admnistrations locales .............................................................................................................................</t>
  </si>
  <si>
    <t xml:space="preserve">Situation I: NLB=3M2+NLBz (pour pays base droits constatés) </t>
  </si>
  <si>
    <t xml:space="preserve">SituationII:CSD=3M2+CSDz (pour pays base caisse) </t>
  </si>
  <si>
    <t xml:space="preserve">Intérêt vs transactions de dette publique </t>
  </si>
  <si>
    <t>8211=8311 pour CC et CT?</t>
  </si>
  <si>
    <t>68211=68311 pour CC et CT?</t>
  </si>
  <si>
    <t>Thousand</t>
  </si>
  <si>
    <t>Trillion</t>
  </si>
  <si>
    <t>January</t>
  </si>
  <si>
    <t>February</t>
  </si>
  <si>
    <t>March</t>
  </si>
  <si>
    <t>April</t>
  </si>
  <si>
    <t>May</t>
  </si>
  <si>
    <t>June</t>
  </si>
  <si>
    <t>July</t>
  </si>
  <si>
    <t>August</t>
  </si>
  <si>
    <t>September</t>
  </si>
  <si>
    <t>October</t>
  </si>
  <si>
    <t>November</t>
  </si>
  <si>
    <t>December</t>
  </si>
  <si>
    <t>Nombre del país:</t>
  </si>
  <si>
    <t>Código del país:</t>
  </si>
  <si>
    <t>Año:</t>
  </si>
  <si>
    <t>Ejercicio que finaliza (meses):</t>
  </si>
  <si>
    <t>Ejercicio que finaliza (dia):</t>
  </si>
  <si>
    <t>Moneda:</t>
  </si>
  <si>
    <t>Nombre de la moneda:</t>
  </si>
  <si>
    <t>Magnitud:</t>
  </si>
  <si>
    <t>Organismo compilador:</t>
  </si>
  <si>
    <t>Nombre del remitente</t>
  </si>
  <si>
    <t>Correo electrónico del remitente</t>
  </si>
  <si>
    <t>Persona de contacto adicional</t>
  </si>
  <si>
    <t>Correo electrónico de contacto adicional:</t>
  </si>
  <si>
    <t>Fecha de presentación:</t>
  </si>
  <si>
    <t>Miles</t>
  </si>
  <si>
    <t>Millónes</t>
  </si>
  <si>
    <t>Miles de millónes</t>
  </si>
  <si>
    <t>Trillón</t>
  </si>
  <si>
    <t>Gobierno central presupuestario</t>
  </si>
  <si>
    <t>Unidades extrapresu-puestarias del gobierno central</t>
  </si>
  <si>
    <t>Gobierno central</t>
  </si>
  <si>
    <t>Fondos de seguridad social</t>
  </si>
  <si>
    <t>Gobiernos estatales</t>
  </si>
  <si>
    <t>Gobiernos locales</t>
  </si>
  <si>
    <t>Gobierno general</t>
  </si>
  <si>
    <t>Partida informativa: Gob. central (incl. SSF a nivel central)</t>
  </si>
  <si>
    <t>Naturaleza de los datos</t>
  </si>
  <si>
    <t xml:space="preserve">      Referencia:   Manual de estadísticas de finanzas públicas 2014 (MEFP 2014)</t>
  </si>
  <si>
    <t xml:space="preserve">Gobierno general </t>
  </si>
  <si>
    <t>Gobierno central (excluidos los fondos de seguridad social)</t>
  </si>
  <si>
    <t>Columna de consolidación</t>
  </si>
  <si>
    <t>Presupuestario</t>
  </si>
  <si>
    <t>Extrapresupuestario</t>
  </si>
  <si>
    <t>Escriba NA para indicar "no disponible"</t>
  </si>
  <si>
    <t>Escriba NP para indicar "no se aplica"</t>
  </si>
  <si>
    <t>Verificación horizontal</t>
  </si>
  <si>
    <t>Gobierno central (CG)=(BA)</t>
  </si>
  <si>
    <t>Gobierno general (GG)=(CG)+(SSF)</t>
  </si>
  <si>
    <t>TRANSACCIONES QUE AFECTAN AL PATRIMONIO NETO:</t>
  </si>
  <si>
    <t>Ingreso ..................................................................................................................................</t>
  </si>
  <si>
    <t xml:space="preserve">Impuestos .................................................................................................................................................................. </t>
  </si>
  <si>
    <t>Contribuciones sociales ...........................................................................................................................................</t>
  </si>
  <si>
    <t xml:space="preserve">Donaciones ............................................................................................................................................................ </t>
  </si>
  <si>
    <t>Otros ingresos..........................................................................................................................................................</t>
  </si>
  <si>
    <t>Gasto....................................................................................................................................................................................</t>
  </si>
  <si>
    <t xml:space="preserve">Remuneración a los empleados ............................................................................................................................................................ </t>
  </si>
  <si>
    <t xml:space="preserve">Uso de bienes y servicios ............................................................................................................................................................ </t>
  </si>
  <si>
    <t xml:space="preserve">Consumo de capital fijo ............................................................................................................................................................ </t>
  </si>
  <si>
    <t xml:space="preserve">Intereses ............................................................................................................................................................ </t>
  </si>
  <si>
    <t xml:space="preserve">Subsidios ............................................................................................................................................................ </t>
  </si>
  <si>
    <t xml:space="preserve">Prestaciones sociales ............................................................................................................................................................. </t>
  </si>
  <si>
    <t xml:space="preserve">Otros gastos ............................................................................................................................................................ </t>
  </si>
  <si>
    <t>Resultado operativo bruto   (1-2+23) ..................................................................................................................................</t>
  </si>
  <si>
    <t>Resultado operativo neto       (1-2) ...............................................................................................................................................</t>
  </si>
  <si>
    <t>TRANSACCIONES EN ACTIVOS NO FINANCIEROS:</t>
  </si>
  <si>
    <t>Inversión neta/bruta en activos no financieros .......................................................................................................................</t>
  </si>
  <si>
    <t>Activos fijos .............................................................................................................................................................................</t>
  </si>
  <si>
    <t>Existencias .............................................................................................................................................................................</t>
  </si>
  <si>
    <t>Objetos de valor .............................................................................................................................................................................</t>
  </si>
  <si>
    <t>Activos no producidos ..............................................................................................................................................................................</t>
  </si>
  <si>
    <t>Erogación (2+31) .........................................................................................................................................</t>
  </si>
  <si>
    <t>Préstamo neto (+) / endeudamiento neto (-) (1-2-31) o (1-2M) .........................................................................................................................................</t>
  </si>
  <si>
    <t>TRANSACCIONES EN ACTIVOS Y PASIVOS FINANCIEROS (FINANCIAMIENTO):</t>
  </si>
  <si>
    <t>Adquisición neta de activos financieros ................................................................................................................................</t>
  </si>
  <si>
    <t>Deudores internos ...................................................................................................................................................................................</t>
  </si>
  <si>
    <t>Deudores externos ........................................................................................................................................................................................</t>
  </si>
  <si>
    <t>Incurrimiento neto de pasivos ....................................................................................................................................................................................</t>
  </si>
  <si>
    <t>Acreedores internos ....................................................................................................................................................................................</t>
  </si>
  <si>
    <t>Acreedores externos ...................................................................................................................................................................................</t>
  </si>
  <si>
    <t>Discrepancia estadística global: Diferencia entre préstamo/endeudam. neto y financiamiento (32-33-NLB) ..................................................................................................................</t>
  </si>
  <si>
    <t>Partidas informativas:</t>
  </si>
  <si>
    <t>Gasto, excluido el consumo de capital fijo  (=2-23) ...............................................................................................</t>
  </si>
  <si>
    <t>Inversión bruta en activos no financieros  (=31+23) ...............................................................................................</t>
  </si>
  <si>
    <t>Variación neta en las tenencias de efectivo  (=3202=3212+3222) ...............................................................................................</t>
  </si>
  <si>
    <t>Préstamo neto primario/endeudamiento neto primario (NLB+24) ...................................................................................................................................................................................</t>
  </si>
  <si>
    <t>Balance del gobierno según la definición nacional ...............................................................................................</t>
  </si>
  <si>
    <t>VERIFICACIÓN VERTICAL AL ESTADO I</t>
  </si>
  <si>
    <t>Partidas de resultado:</t>
  </si>
  <si>
    <t>Componentes:</t>
  </si>
  <si>
    <t>Consolidación:</t>
  </si>
  <si>
    <t>La consolidación no debería afectar a los balances.</t>
  </si>
  <si>
    <t>ESTADO DE OPERACIONES</t>
  </si>
  <si>
    <t>ESTADO I</t>
  </si>
  <si>
    <t>ESTADO DE FUENTES Y USOS DE EFECTIVO</t>
  </si>
  <si>
    <t>FLUJOS DE EFECTIVO POR ACTIVIDADES OPERATIVAS:</t>
  </si>
  <si>
    <t>Entradas de efectivo ....................................................................................................................................................................................</t>
  </si>
  <si>
    <t>Impuestos ......................................................................................................................................................................................</t>
  </si>
  <si>
    <t>Contribuciones sociales ......................................................................................................................................................................................</t>
  </si>
  <si>
    <t>Donaciones ......................................................................................................................................................................................</t>
  </si>
  <si>
    <t>Otras entradas ......................................................................................................................................................................................</t>
  </si>
  <si>
    <t>Pagos en efectivo ......................................................................................................................................................................................</t>
  </si>
  <si>
    <t>Remuneración a los empleados .......................................................................................................................................................................................</t>
  </si>
  <si>
    <t>Compras de bienes y servicios .......................................................................................................................................................................................</t>
  </si>
  <si>
    <t>Intereses .......................................................................................................................................................................................</t>
  </si>
  <si>
    <t>Subsidios .......................................................................................................................................................................................</t>
  </si>
  <si>
    <t>Donaciones ........................................................................................................................................................................................</t>
  </si>
  <si>
    <t>Prestaciones sociales ........................................................................................................................................................................................</t>
  </si>
  <si>
    <t>Otros pagos ........................................................................................................................................................................................</t>
  </si>
  <si>
    <t>Entrada neta de efectivo por actividades operativas (1-2) ...............................................................................................................................................</t>
  </si>
  <si>
    <t>FLUJOS DE EFECTIVO POR TRANSACCIONES EN ACTIVOS NO FINANCIEROS:</t>
  </si>
  <si>
    <t>Salida neta de efectivo por inversiones en activos no financieros .........................................................................................................................................</t>
  </si>
  <si>
    <t>Activos fijos ........................................................................................................................................................................................</t>
  </si>
  <si>
    <t>Existencias ........................................................................................................................................................................................</t>
  </si>
  <si>
    <t>Objetos de valor ........................................................................................................................................................................................</t>
  </si>
  <si>
    <t>Activos no producidos ........................................................................................................................................................................................</t>
  </si>
  <si>
    <t>Salida neta de efectivo por erogaciónes (2+31) .........................................................................................................................................</t>
  </si>
  <si>
    <t>Superávit de efectivo (+) / déficit de efectivo (-) (1-2-31) .........................................................................................................................................</t>
  </si>
  <si>
    <t>FLUJOS DE EFECTIVO POR TRANSACCIONES EN ACTIVOS Y PASIVOS FINANCIEROS (FINANCIAMIENTO):</t>
  </si>
  <si>
    <t xml:space="preserve"> Adquisición neta de activos financieros, excluido el efectivo ................................................................................................................................</t>
  </si>
  <si>
    <r>
      <rPr>
        <b/>
        <sz val="7.5"/>
        <rFont val="Segoe UI"/>
        <family val="2"/>
      </rPr>
      <t>Incurrimiento neto de pasivos</t>
    </r>
    <r>
      <rPr>
        <sz val="7.5"/>
        <rFont val="Segoe UI"/>
        <family val="2"/>
      </rPr>
      <t xml:space="preserve"> .........................................................................................................................................................................................</t>
    </r>
  </si>
  <si>
    <t>Acreedores externos ....................................................................................................................................................................................</t>
  </si>
  <si>
    <t>Entrada neta de efectivo por actividades de financiamiento (33-32x) .........................................................................................................................................</t>
  </si>
  <si>
    <t>Variación neta en las tenencias de efectivo (CSD+NFB=3202=3212+3222) ...............................................................................................</t>
  </si>
  <si>
    <t>Discrepancia estadística global: Diferencia entre superávit/déficit en efectivo y financiamiento  (C32x+NCB-C33-CSD) ..................................................................................................................</t>
  </si>
  <si>
    <t>Superávit/déficit de efectivo primario (CSD+24) ...................................................................................................................................................................................</t>
  </si>
  <si>
    <t>Extra-presupuestario</t>
  </si>
  <si>
    <t>VERIFICACIÓN VERTICAL AL ESTADO II</t>
  </si>
  <si>
    <t>ESTADO II</t>
  </si>
  <si>
    <t>Estado II vs Cuadros Detallados (solo para los países que declaran datos en base caja):</t>
  </si>
  <si>
    <t>C1=Cuadro1:1</t>
  </si>
  <si>
    <t>C11=Cuadro1:11</t>
  </si>
  <si>
    <t>C12=Cuadro1:12</t>
  </si>
  <si>
    <t>C13=Cuadro1:13</t>
  </si>
  <si>
    <t>C14=Cuadro1:14</t>
  </si>
  <si>
    <t>C2=Cuadro2:2</t>
  </si>
  <si>
    <t>C21=Cuadro2:21</t>
  </si>
  <si>
    <t>C22=Cuadro2:22</t>
  </si>
  <si>
    <t>C24=Cuadro2:24</t>
  </si>
  <si>
    <t>C25=Cuadro2:25</t>
  </si>
  <si>
    <t>C26=Cuadro2:26</t>
  </si>
  <si>
    <t>C27=Cuadro2:27</t>
  </si>
  <si>
    <t>C28=Cuadro2:28</t>
  </si>
  <si>
    <t>C31=Cuadro3:31</t>
  </si>
  <si>
    <t>C311=Cuadro3:311</t>
  </si>
  <si>
    <t>C312=Cuadro3:312</t>
  </si>
  <si>
    <t>C313=Cuadro3:313</t>
  </si>
  <si>
    <t>C314=Cuadro3:314</t>
  </si>
  <si>
    <t>CSD=Cuadro3:3M2-CSDz</t>
  </si>
  <si>
    <t>C32x+NCB=Cuadro 3:32</t>
  </si>
  <si>
    <t>33=Cuadro3:33</t>
  </si>
  <si>
    <t>331=Cuadro3:331</t>
  </si>
  <si>
    <t>332=Cuadro3:332</t>
  </si>
  <si>
    <t>No deberían consolidarse las partidas relacionadas exclusivamente con las unidades no gubernamentales.</t>
  </si>
  <si>
    <t>Domestic Currency</t>
  </si>
  <si>
    <t>ACTIVOS NO FINANCIEROS</t>
  </si>
  <si>
    <t>Saldo de apertura ....................................................................................................................................................................</t>
  </si>
  <si>
    <t>Transacciones (neto) ....................................................................................................................................................</t>
  </si>
  <si>
    <t>Total Otros flujos económicos .....................................................................................................................................................</t>
  </si>
  <si>
    <t>Saldo de cierre ....................................................................................................................................................</t>
  </si>
  <si>
    <t>Discrepancia saldos-flujos de activos no financieros (61t-61t-1-31-91) ...................................................................................................</t>
  </si>
  <si>
    <t>ACTIVOS FINANCIEROS</t>
  </si>
  <si>
    <t>Total Otros flujos económicos .......................................................................................................................................................</t>
  </si>
  <si>
    <t>Discrepancia saldos-flujos de activos financieros (62t-62t-1-32-92) ...................................................................................................</t>
  </si>
  <si>
    <t>PASIVOS</t>
  </si>
  <si>
    <t>Total Otros flujos económicos ......................................................................................................................................................</t>
  </si>
  <si>
    <t>Discrepancia saldos-flujos de pasivos (63t-63t-1-33-93) ...................................................................................................</t>
  </si>
  <si>
    <t>PATRIMONIO FINANCIERO NETO</t>
  </si>
  <si>
    <t>Total Otros flujos económicos ........................................................................................................................................................</t>
  </si>
  <si>
    <t>Discrepancia saldos-flujos de patrimonio financiero neto (6M2t-6M2t-1-3M2-9M2) ...................................................................................................</t>
  </si>
  <si>
    <t>ESTADO INTEGRADO DE SALDOS Y FLUJOS</t>
  </si>
  <si>
    <t>ESTADO III</t>
  </si>
  <si>
    <t>VERIFICACIÓN VERTICAL AL ESTADO III</t>
  </si>
  <si>
    <t>PATRIMONIO NETO AL PRINCIPIO DEL PERÍODO ...............................................................................................................................................</t>
  </si>
  <si>
    <t>Ingreso ...............................................................................................................................................</t>
  </si>
  <si>
    <t>Gasto ................................................................................................................................................</t>
  </si>
  <si>
    <t>VARIACIÓN EN EL PATRIMONIO NETO COMO RESULTADO DE OTROS FLUJOS ECONÓMICOS:</t>
  </si>
  <si>
    <t>Activos no financieros ................................................................................................................................................</t>
  </si>
  <si>
    <t>Ganancias por tenencia ................................................................................................................................................</t>
  </si>
  <si>
    <t>Otras variaciones del volumen de activos no financieros .................................................................................................................................................</t>
  </si>
  <si>
    <t>Activos financieros .................................................................................................................................................</t>
  </si>
  <si>
    <t>Ganancias por tenencia .................................................................................................................................................</t>
  </si>
  <si>
    <t>Otras variaciones del volumen de activos financieros .................................................................................................................................................</t>
  </si>
  <si>
    <t>Pasivos .................................................................................................................................................</t>
  </si>
  <si>
    <t>Otras variaciones del volumen de pasivos .................................................................................................................................................</t>
  </si>
  <si>
    <t>Total otros flujos económicos  (91+92+93) .........................................................................................................................................</t>
  </si>
  <si>
    <t>Total variación en patrimonio neto (NOB+9) .........................................................................................................................................</t>
  </si>
  <si>
    <t>PATRIMONIO NETO AL FINAL DEL PERÍODO .................................................................................................................................................</t>
  </si>
  <si>
    <t>Discrepancia saldos-flujos: CNW vs Variación en saldos  (CNW-6t+6t-1) ..................................................................................................................</t>
  </si>
  <si>
    <t>ESTADO DE VARIACIONES TOTALES EN EL PATRIMONIO NETO</t>
  </si>
  <si>
    <t>ESTADO IV</t>
  </si>
  <si>
    <t>VERIFICACIÓN VERTICAL AL ESTADO IV</t>
  </si>
  <si>
    <t>INGRESO</t>
  </si>
  <si>
    <t>CUADRO 1</t>
  </si>
  <si>
    <t>INGRESO ...............................................................................................................................................</t>
  </si>
  <si>
    <t>Impuestos ................................................................................................................................................</t>
  </si>
  <si>
    <t>Impuestos sobre el ingreso, las utilidades y las ganancias de capital ................................................................................................................................................</t>
  </si>
  <si>
    <t>Pagaderos por personas físicas ................................................................................................................................................</t>
  </si>
  <si>
    <t>Pagaderos por sociedades y otras empresas ................................................................................................................................................</t>
  </si>
  <si>
    <t>Otros ................................................................................................................................................</t>
  </si>
  <si>
    <t>Impuestos sobre la nómina y la fuerza de trabajo ................................................................................................................................................</t>
  </si>
  <si>
    <t>Impuestos sobre la propiedad ................................................................................................................................................</t>
  </si>
  <si>
    <t>Impuestos recurrentes sobre la propiedad inmueble ................................................................................................................................................</t>
  </si>
  <si>
    <t>Impuestos recurrentes sobre el patrimonio neto .................................................................................................................................................</t>
  </si>
  <si>
    <t>Impuestos sobre sucesiones, herencia y regalos .................................................................................................................................................</t>
  </si>
  <si>
    <t>Gravámenes sobre el capital .................................................................................................................................................</t>
  </si>
  <si>
    <t>Otros impuestos recurrentes sobre la propiedad ...............................................................................................................................................</t>
  </si>
  <si>
    <t>Impuestos sobre los bienes y servicios ..................................................................................................................................................</t>
  </si>
  <si>
    <t>Impuestos generales sobre los bienes y servicios ..................................................................................................................................................</t>
  </si>
  <si>
    <t>Impuestos sobre el valor agregado ..................................................................................................................................................</t>
  </si>
  <si>
    <t>Impuestos sobre las ventas ..................................................................................................................................................</t>
  </si>
  <si>
    <t>Impuestos sobre el volumen de ventas y otros impuestos generales sobre los bienes y servicios ...................................................................................................................................................................</t>
  </si>
  <si>
    <t>Impuestos sobre transacciones financieras y de capital ...................................................................................................................................................</t>
  </si>
  <si>
    <t>Impuestos selectivos ...................................................................................................................................................</t>
  </si>
  <si>
    <t>Utilidades de los monopolios fiscales ...................................................................................................................................................</t>
  </si>
  <si>
    <t>Impuestos sobre servicios específicos ...................................................................................................................................................</t>
  </si>
  <si>
    <t>Impuestos sobre el uso de bienes y sobre el permiso para usar bienes o realizar actividades ...................................................................................................................................................</t>
  </si>
  <si>
    <t xml:space="preserve"> Impuestos sobre los vehículos automotores ...................................................................................................................................................</t>
  </si>
  <si>
    <t>Otros ...................................................................................................................................................</t>
  </si>
  <si>
    <t>Otros impuestos sobre los bienes y servicios ...................................................................................................................................................</t>
  </si>
  <si>
    <t>Impuestos sobre el comercio y las transacciones internacionales ...................................................................................................................................................</t>
  </si>
  <si>
    <t>Derechos de aduana y otros derechos de importación ...................................................................................................................................................</t>
  </si>
  <si>
    <t>Impuestos sobre las exportaciones ...................................................................................................................................................</t>
  </si>
  <si>
    <t>Utilidades de los monopolios de exportación o de importación ...................................................................................................................................................</t>
  </si>
  <si>
    <t>Utilidades de operaciones cambiarias ...................................................................................................................................................</t>
  </si>
  <si>
    <t>Impuestos sobre las operaciones cambiarias ...................................................................................................................................................</t>
  </si>
  <si>
    <t>Otros impuestos sobre el comercio y las transacciones internacionales .......................................</t>
  </si>
  <si>
    <t>Otros impuestos ...................................................................................................................................................</t>
  </si>
  <si>
    <t>Contribuciones sociales ...................................................................................................................................................</t>
  </si>
  <si>
    <t>Contribuciones a la seguridad social ...................................................................................................................................................</t>
  </si>
  <si>
    <t>Contribuciones de los empleados ...................................................................................................................................................</t>
  </si>
  <si>
    <t>Contribuciones de los empleadores ...................................................................................................................................................</t>
  </si>
  <si>
    <t>Contribuciones de los trabajadores por cuenta propia o no empleados ...................................................................................................................................................</t>
  </si>
  <si>
    <t>Contribuciones no clasificables ...................................................................................................................................................</t>
  </si>
  <si>
    <t>Otras contribuciones sociales ...................................................................................................................................................</t>
  </si>
  <si>
    <t>Contribuciones imputadas ...................................................................................................................................................</t>
  </si>
  <si>
    <t>Donaciones ...................................................................................................................................................</t>
  </si>
  <si>
    <t>De gobiernos extranjeros ...................................................................................................................................................</t>
  </si>
  <si>
    <t>Corrientes ...................................................................................................................................................</t>
  </si>
  <si>
    <t>Capital ...................................................................................................................................................</t>
  </si>
  <si>
    <t>De organismos internacionales.</t>
  </si>
  <si>
    <t>Corrientes .............................................................................................................................................................</t>
  </si>
  <si>
    <t>Capital ..................................................................................................................................................................</t>
  </si>
  <si>
    <t>De otras unidades del gobierno general ....................................................................................................................................................</t>
  </si>
  <si>
    <t>Capital ................................................................................................................................................................</t>
  </si>
  <si>
    <t>Otros ingresos ....................................................................................................................................................</t>
  </si>
  <si>
    <t>Rentas de la propiedad ....................................................................................................................................................</t>
  </si>
  <si>
    <t>Intereses ............................................................................................................................................................</t>
  </si>
  <si>
    <t>Dividendos ...................................................................................................................................................</t>
  </si>
  <si>
    <t>De residentes distintos del gobierno general ....................................................................................................................................................</t>
  </si>
  <si>
    <t xml:space="preserve">Dividendos ........................................................................................................................................................ </t>
  </si>
  <si>
    <t>Retiros de los ingresos de las cuasisociedades ....................................................................................................................................................</t>
  </si>
  <si>
    <t>Rentas de la propiedad relac. con distribución de rentas de la inversión ..........................................................</t>
  </si>
  <si>
    <t>Arriendo de activos públicos naturales .............................................................................................................................................................</t>
  </si>
  <si>
    <t>Utilidades reinvertidas en inversión extranjera directa .............................................................................................................................................................</t>
  </si>
  <si>
    <t xml:space="preserve">Venta de bienes y servicios ............................................................................................................................................................. </t>
  </si>
  <si>
    <t>Ventas de establecimientos de mercado ...................................................................................................................</t>
  </si>
  <si>
    <t>Derechos administrativos .............................................................................................................................................................</t>
  </si>
  <si>
    <t>Ventas incidentales de establecimientos no de mercado .............................................................................................................................................................</t>
  </si>
  <si>
    <t>Ventas imputadas de bienes y servicios .............................................................................................................................................................</t>
  </si>
  <si>
    <t>Multas, sanciones pecuniarias y depósitos en caución transferidos .............................................................................................................................................................</t>
  </si>
  <si>
    <t>Transferencias no clasificadas en otra parte .............................................................................................................................................................</t>
  </si>
  <si>
    <t>Subsidios .............................................................................................................................................................</t>
  </si>
  <si>
    <t>Otros .............................................................................................................................................................</t>
  </si>
  <si>
    <t>Capital .............................................................................................................................................................</t>
  </si>
  <si>
    <t>Primas, tasas y acreencias relacionadas con seguros no de vida y sistemas de garantías estandarizadas ..........................................................</t>
  </si>
  <si>
    <t>Primas, tasas y derechos corrientes ...................................................................................................................</t>
  </si>
  <si>
    <t>Primas ......................................................................................................................................................................................................................................</t>
  </si>
  <si>
    <t>Tasas para sistemas de garantías estandarizadas  .............................................................................................................................</t>
  </si>
  <si>
    <t>Derechos corrientes ..................................................................................................................................</t>
  </si>
  <si>
    <t>Derechos de capital .......................................................................................................................................................</t>
  </si>
  <si>
    <t>VERIFICACIÓN VERTICAL AL CUADRO 1</t>
  </si>
  <si>
    <t>Deberían consolidarse plenamente las partidas relacionadas exclusivamente con las unidades no gubernamentales.</t>
  </si>
  <si>
    <t>Los montos consolidados deberían ser los mismos para ambos lados de la operación.</t>
  </si>
  <si>
    <t>CUADRO 2</t>
  </si>
  <si>
    <t>GASTO</t>
  </si>
  <si>
    <t>GASTO ................................................................................................................................................</t>
  </si>
  <si>
    <t>Remuneración a los empleados .................................................................................................................................................</t>
  </si>
  <si>
    <t>Sueldos y salarios .................................................................................................................................................</t>
  </si>
  <si>
    <t>Contribuciones sociales de empleadores .................................................................................................................................................</t>
  </si>
  <si>
    <t>Contribuciones sociales efectivas de empleadores .................................................................................................................................................</t>
  </si>
  <si>
    <t>Contribuciones sociales imputadas de empleadores .................................................................................................................................................</t>
  </si>
  <si>
    <t xml:space="preserve">Uso de bienes y servicios ................................................................................................................................................. </t>
  </si>
  <si>
    <t>Consumo de capital fijo .................................................................................................................................................</t>
  </si>
  <si>
    <t>Intereses .................................................................................................................................................</t>
  </si>
  <si>
    <t>A no residentes .................................................................................................................................................</t>
  </si>
  <si>
    <t>A residentes distintos del gobierno general .................................................................................................................................................</t>
  </si>
  <si>
    <t>A otras unidades del gobierno general .................................................................................................................................................</t>
  </si>
  <si>
    <t>Subsidios .................................................................................................................................................</t>
  </si>
  <si>
    <t>A corporaciones públicas ..................................................................................................................................................</t>
  </si>
  <si>
    <t>A empresas privadas ..................................................................................................................................................</t>
  </si>
  <si>
    <t>A otros sectores ..................................................................................................................................................</t>
  </si>
  <si>
    <t>Donaciones ..................................................................................................................................................</t>
  </si>
  <si>
    <t>A gobiernos extranjeros ..................................................................................................................................................</t>
  </si>
  <si>
    <t>Corrientes ..................................................................................................................................................</t>
  </si>
  <si>
    <t>Capital ..................................................................................................................................................</t>
  </si>
  <si>
    <t>A organismos internacionales ..................................................................................................................................................</t>
  </si>
  <si>
    <t>A otras unidades del gobierno general ..................................................................................................................................................</t>
  </si>
  <si>
    <t>Prestaciones sociales ..................................................................................................................................................</t>
  </si>
  <si>
    <t>Prestaciones de la seguridad social ..................................................................................................................................................</t>
  </si>
  <si>
    <t>Prestaciones de asistencia social ..................................................................................................................................................</t>
  </si>
  <si>
    <t>Prestaciones sociales relacionadas al empleo ..................................................................................................................................................</t>
  </si>
  <si>
    <t>Otros gastos ..................................................................................................................................................</t>
  </si>
  <si>
    <t>Gasto de la propiedad distinto de intereses ..................................................................................................................................................</t>
  </si>
  <si>
    <t>Dividendos ..................................................................................................................................................</t>
  </si>
  <si>
    <t>Retiros de los ingresos de las cuasisociedades ..................................................................................................................................................</t>
  </si>
  <si>
    <t>Rentas de la propiedad relac. con distribución de rentas de la inversión ....................................................................................................</t>
  </si>
  <si>
    <t>Arriendo de activos públicos naturales ...................................................................................................................................................</t>
  </si>
  <si>
    <t>Utilidades reinvertidas en inversión extranjera directa ...................................................................................................................................................</t>
  </si>
  <si>
    <t>Transferencias no clasificadas en otra parte ...................................................................................................................................................</t>
  </si>
  <si>
    <t>Primas, tasas y derechos corrientes ....................................................................................................................................................................</t>
  </si>
  <si>
    <t>Primas ..................................................................................................................................................</t>
  </si>
  <si>
    <t>Primas, tasas y derechos relacionados con seguros no de vida y sistemas de garantías estandarizadas ...................................................................</t>
  </si>
  <si>
    <t>VERIFICACIÓN VERTICAL AL CUADRO 2</t>
  </si>
  <si>
    <t>TRANSACCIONES EN
ACTIVOS Y PASIVOS</t>
  </si>
  <si>
    <t>CUADRO 3</t>
  </si>
  <si>
    <t>TRANSACCIONES NETAS EN ACTIVOS Y PASIVOS</t>
  </si>
  <si>
    <t>Inversión neta/bruta en activos no financieros .................................................................................................................................................</t>
  </si>
  <si>
    <t>Activos fijos ..........................................................................................................................................................................</t>
  </si>
  <si>
    <t>Edificios y estructuras ..........................................................................................................................................................................</t>
  </si>
  <si>
    <t>Maquinaria y equipo ..........................................................................................................................................................................</t>
  </si>
  <si>
    <t>Otros activos fijos ..........................................................................................................................................................................</t>
  </si>
  <si>
    <t>Sistemas de armamentos ..........................................................................................................................................................................</t>
  </si>
  <si>
    <t>Existencias ..........................................................................................................................................................................</t>
  </si>
  <si>
    <t>Objetos de valor ..........................................................................................................................................................................</t>
  </si>
  <si>
    <t>Activos no producidos ..........................................................................................................................................................................</t>
  </si>
  <si>
    <t>Tierras y terrenos ..........................................................................................................................................................................</t>
  </si>
  <si>
    <t>Recursos minerales y energéticos .........................................................................................................................................................................</t>
  </si>
  <si>
    <t>Otros activos de origen natural ..........................................................................................................................................................................</t>
  </si>
  <si>
    <t>Activos intangibles no producidos ..........................................................................................................................................................................</t>
  </si>
  <si>
    <t>Adquisición neta de activos financieros ..........................................................................................................................................................................</t>
  </si>
  <si>
    <t>Oro monetario y DEG [3211+3212] ..........................................................................................................................................................................</t>
  </si>
  <si>
    <t>Billetes y monedas y depósitos [3212+3222] .........................................................................................................................................................................</t>
  </si>
  <si>
    <t>Títulos de deuda [3213+3223] ...........................................................................................................................................................................</t>
  </si>
  <si>
    <t>Préstamos  [3214+3224] ............................................................................................................................................................................</t>
  </si>
  <si>
    <t>Participaciones de capital y en fondos de inversión [3215+3225] ....................................................................................................</t>
  </si>
  <si>
    <t>Seguros, pensiones y sistemas de garantías estandarizadas [3216+3226] ............................................................................................................................................................................</t>
  </si>
  <si>
    <t>Derivados fin. y opciones de compra de acciones por empleados [3217+3227] .</t>
  </si>
  <si>
    <t>Otras cuentas por cobrar [3218+3228] .......................................................................................................</t>
  </si>
  <si>
    <t>Deudores internos .....................................................................................................................................................................</t>
  </si>
  <si>
    <t>Oro monetario y DEG ............................................................................................................................................................................</t>
  </si>
  <si>
    <t>Billetes y monedas y depósitos ............................................................................................................................................................................</t>
  </si>
  <si>
    <t>Títulos de deuda ............................................................................................................................................................................</t>
  </si>
  <si>
    <t>Préstamos ............................................................................................................................................................................</t>
  </si>
  <si>
    <t>Participaciones de capital y en fondos de inversión ............................................................................................................................................................................</t>
  </si>
  <si>
    <t>Seguros, pensiones y sistemas de garantías estandarizadas .............................................................................................................................................................................</t>
  </si>
  <si>
    <t>Derivados fin. y opciones de compra de acciones por parte de empleados .</t>
  </si>
  <si>
    <t>Otras cuentas por cobrar ............................................................................................................................................................................</t>
  </si>
  <si>
    <t>Deudores externos ..............................................................................................................................................................................</t>
  </si>
  <si>
    <t>Títulos de deuda ..........................................................................................................................................................................</t>
  </si>
  <si>
    <t>Préstamos ..........................................................................................................................................................................</t>
  </si>
  <si>
    <t>Seguros, pensiones y sistemas de garantías estandarizadas ............................................................................................................................................................................</t>
  </si>
  <si>
    <t>Derivados fin. y opciones de compra de acciones por parte de empleados ..............................................................................................................................................................................</t>
  </si>
  <si>
    <t>Otras cuentas por cobrar ...........................................................................................................................................................................</t>
  </si>
  <si>
    <t>Incurrimiento neto de pasivos ......................................................................................................................................................................</t>
  </si>
  <si>
    <t>Derechos especiales de giro (DEG) [3321] .....................................................................................................................................................................</t>
  </si>
  <si>
    <t>Billetes y monedas y depósitos [3312+3322] ....................................................................................................................................................................</t>
  </si>
  <si>
    <t>Títulos de deuda [3313+3323] ....................................................................................................................................................................</t>
  </si>
  <si>
    <t>Préstamos [3314+3324] ..........................................................................................................................................</t>
  </si>
  <si>
    <t>Participaciones de capital y en fondos de inversión [3315+3325] ....................................................................................................</t>
  </si>
  <si>
    <t>Seguros, pensiones y sistemas de garantías estandarizadas [3316+3326] .........................................................................................................................................</t>
  </si>
  <si>
    <t>Reservas técnicas de seguros no de vida ......................................................................................................................................................................</t>
  </si>
  <si>
    <t>Seguros de vida y derechos a rentas vitalicias ......................................................................................................................................................................</t>
  </si>
  <si>
    <t>Derechos de pensiones ......................................................................................................................................................................</t>
  </si>
  <si>
    <t>Derechos de los fondos de pensiones frente a los administradores de pensiones ......................................................................................................................................................................</t>
  </si>
  <si>
    <t>Provisiones para las peticiones de fondos en virtud de garantías estandarizadas ......................................................................................................................................................................</t>
  </si>
  <si>
    <t>Derivados fin. y opciones de compra de acciones por empleados [3317+3327] ........................................................................................................................................................................</t>
  </si>
  <si>
    <t>Otras cuentas por pagar [3318+3328] .......................................................................................................</t>
  </si>
  <si>
    <t>Acreedores internos .............................................................................................................................................................................</t>
  </si>
  <si>
    <t>Derivados fin. y opciones de compra de acciones por parte de empleados .............................................................................................................................................................................</t>
  </si>
  <si>
    <t>Acreedores externos .............................................................................................................................................................................</t>
  </si>
  <si>
    <t>Derechos especiales de giro (DEG).</t>
  </si>
  <si>
    <t>Títulos de deuda .............................................................................................................................................................................</t>
  </si>
  <si>
    <t>Préstamos .............................................................................................................................................................................</t>
  </si>
  <si>
    <t>Participaciones de capital y en fondos de inversión .............................................................................................................................................................................</t>
  </si>
  <si>
    <t>Derivados financieros y opciones de compra de acciones por parte de empleados.</t>
  </si>
  <si>
    <t>Otras cuentas por pagar .............................................................................................................................................................................</t>
  </si>
  <si>
    <t>Adquisiciones de activos no financieros, distintas de las existencias ...................................................................................................................................................................</t>
  </si>
  <si>
    <t>Adquisiciones: Activos fijos ...................................................................................................................................................................</t>
  </si>
  <si>
    <t>Adquisiciones: Objetos de valor ...............................................................................................................................................................</t>
  </si>
  <si>
    <t>Adquisiciones: Activos producidos ..................................................................................</t>
  </si>
  <si>
    <t>Disposiciones de activos no financieros, distintas de las existencias ...................................................................................................................................................................</t>
  </si>
  <si>
    <t>Disposiciones: Activos fijos ...................................................................................................................................................................</t>
  </si>
  <si>
    <t>Disposiciones: Objetos de valor ...............................................................................................................................................................</t>
  </si>
  <si>
    <t>Disposiciones: Activos producidos ..................................................................................</t>
  </si>
  <si>
    <t>Consumo de capital fijo ................................................................................................................................................................</t>
  </si>
  <si>
    <t>Formación de capital por cuenta propia ................................................................................................................................................................</t>
  </si>
  <si>
    <t>Remuneración a los empleados ................................................................................................................................................................</t>
  </si>
  <si>
    <t>Uso de bienes y servicios ................................................................................................................................................................</t>
  </si>
  <si>
    <t>Otros impuestos menos otros subsidios (sobre la producción) ...........................................................................................................................</t>
  </si>
  <si>
    <t>Transacciones en activos y pasivos financieros [=32-33] ..............................................................................................................................................................</t>
  </si>
  <si>
    <t>Deuda bruta (D4) al valor de mercado: Transacciones ...................................................................................................................................................................</t>
  </si>
  <si>
    <t>Pasivos D3 de deuda al valor de mercado: Transacciones ...................................................................................................................................................................</t>
  </si>
  <si>
    <t>Pasivos D2 de deuda al valor de mercado: Transacciones ...................................................................................................................................................................</t>
  </si>
  <si>
    <t>Pasivos D1 de deuda al valor de mercado: Transacciones ...................................................................................................................................................................</t>
  </si>
  <si>
    <t>VERIFICACIÓN VERTICAL AL CUADRO 3</t>
  </si>
  <si>
    <t>Variación en patrimonio financiero neto (transacciones) vs Estados:</t>
  </si>
  <si>
    <t>31=0 para CC y CT?</t>
  </si>
  <si>
    <t>(32-33)=0 para CC y CT?</t>
  </si>
  <si>
    <t>31x=0 para CC  y CT?</t>
  </si>
  <si>
    <t>322x=0 para CC y CT?</t>
  </si>
  <si>
    <t>332x=0 para CC y CT?</t>
  </si>
  <si>
    <t>3201=3301 para CC  y CT?</t>
  </si>
  <si>
    <t>3202=3302 para CC  y CT?</t>
  </si>
  <si>
    <t>3203=3303 para CC y CT?</t>
  </si>
  <si>
    <t>3204=3304 para CC y CT?</t>
  </si>
  <si>
    <t>3205=3305 para CC y CT?</t>
  </si>
  <si>
    <t>3206=3306 para CC y CT?</t>
  </si>
  <si>
    <t>3207=3307 para CC y CT?</t>
  </si>
  <si>
    <t>3208=3308 para CC y CT?</t>
  </si>
  <si>
    <t>VARIACIÓN EN EL PATRIMONIO NETO COMO RESULTADO DE GANANCIAS Y PÉRDIDAS POR TENENCIA ......................................................................................................</t>
  </si>
  <si>
    <t>Ganancias y pérdidas por tenencia de activos no financieros ...................................................................................................................................................................................................................................</t>
  </si>
  <si>
    <t>Activos fijos ......................................................................................................................................................................</t>
  </si>
  <si>
    <t>Existencias ......................................................................................................................................................................</t>
  </si>
  <si>
    <t>Objetos de valor ......................................................................................................................................................................</t>
  </si>
  <si>
    <t>Activos no producidos ......................................................................................................................................................................</t>
  </si>
  <si>
    <t>Ganancias y pérdidas por tenencia de activos financieros ..........................................................................................................................................................................................</t>
  </si>
  <si>
    <t>Oro monetario y DEG ......................................................................................................................................................................</t>
  </si>
  <si>
    <t>Billetes y monedas y depósitos .....................................................................................................................................................................</t>
  </si>
  <si>
    <t>Títulos de deuda ......................................................................................................................................................................</t>
  </si>
  <si>
    <t>Préstamos ......................................................................................................................................................................</t>
  </si>
  <si>
    <t>Participaciones de capital y en fondos de inversión ......................................................................................................................................................................</t>
  </si>
  <si>
    <t>Seguros, pensiones y sistemas de garantías estandarizadas ......................................................................................................................................................................</t>
  </si>
  <si>
    <t>Derivados financieros y opciones de compra de acciones por parte de empleados ......................................................................................................................................................................</t>
  </si>
  <si>
    <t>Otras cuentas por cobrar ......................................................................................................................................................................</t>
  </si>
  <si>
    <t>Ganancias y pérdidas por tenencia de activos y pasivos .......................................................................................................................................................................</t>
  </si>
  <si>
    <t>Derechos especiales de giro (DEG) .......................................................................................................................................................................</t>
  </si>
  <si>
    <t>Billetes y monedas y depósitos .......................................................................................................................................................................</t>
  </si>
  <si>
    <t>Títulos de deuda .......................................................................................................................................................................</t>
  </si>
  <si>
    <t>Préstamos .......................................................................................................................................................................</t>
  </si>
  <si>
    <t>Participaciones de capital y en fondos de inversión .......................................................................................................................................................................</t>
  </si>
  <si>
    <t>Seguros, pensiones y sistemas de garantías estandarizadas .......................................................................................................................................................................</t>
  </si>
  <si>
    <t>Derivados financieros y opciones de compra de acciones por parte de empleados .......................................................................................................................................................................</t>
  </si>
  <si>
    <t>Otras cuentas por pagar .......................................................................................................................................................................</t>
  </si>
  <si>
    <t>Acreedores internos ........................................................................................................................................................................</t>
  </si>
  <si>
    <t>Acreedores externos ........................................................................................................................................................................</t>
  </si>
  <si>
    <t>Variación en el patrimonio financiero neto como resultado de ganancias y pérdidas por tenencia [=42-43] ..............................................................................................................................................</t>
  </si>
  <si>
    <t>Deuda bruta (D4) al valor de mercado: ganancias y pérdidas por tenencia ...................................................................................................................................................................</t>
  </si>
  <si>
    <t>Pasivos D3 de deuda al valor de mercado: ganancias y pérdidas por tenencia ...................................................................................................................................................................</t>
  </si>
  <si>
    <t>Pasivos D2 de deuda al valor de mercado: ganancias y pérdidas por tenencia...................................................................................................................................................................</t>
  </si>
  <si>
    <t>Pasivos D1 de deuda al valor de mercado: ganancias y pérdidas por tenencia ...................................................................................................................................................................</t>
  </si>
  <si>
    <t>GANANCIAS Y PÉRDIDAS POR TENENCIA DE ACTIVOS Y PASIVOS</t>
  </si>
  <si>
    <t>CUADRO 4</t>
  </si>
  <si>
    <t>VERIFICACIÓN VERTICAL AL CUADRO 4</t>
  </si>
  <si>
    <t>VARIACIÓN EN EL PATRIM. NETO COMO RESULTADO DE VARIACIONES DEL VOLUMEN .............................................................................</t>
  </si>
  <si>
    <t>Otras variaciones en el volumen de activos no financieros .............................................................................................................................................................................................................................................................................................................</t>
  </si>
  <si>
    <t>Activos fijos .......................................................................................................................................................................</t>
  </si>
  <si>
    <t>Otras variaciones en el volumen de activos financieros .....................................................................................................</t>
  </si>
  <si>
    <t>Otras variaciones en el volumen de pasivos .........................................................................................................................................................................................................................................................................................</t>
  </si>
  <si>
    <t>Seguros, pensiones y sistemas de garantías estandarizadas  .......................................................................................................................................................................</t>
  </si>
  <si>
    <t>Acreedores internos ......................................................................................................................................................................</t>
  </si>
  <si>
    <t>Acreedores externos ......................................................................................................................................................................</t>
  </si>
  <si>
    <t>Variación en el patrimonio financiero neto como resultado de variaciones en el volumen [52-53] ..............................................................................................................................................</t>
  </si>
  <si>
    <t>Deuda bruta (D4) al valor de mercado: otras variaciones en el volumen ...................................................................................................................................................................</t>
  </si>
  <si>
    <t>Pasivos D3 de deuda al valor de mercado: otras variaciones en el volumen ...................................................................................................................................................................</t>
  </si>
  <si>
    <t>Pasivos D2 de deuda al valor de mercado: otras variaciones en el volumen...................................................................................................................................................................</t>
  </si>
  <si>
    <t>Pasivos D1 de deuda al valor de mercado: otras variaciones en el volumen...................................................................................................................................................................</t>
  </si>
  <si>
    <t>OTRAS VARIACIONES EN EL VOLUMEN DE ACTIVOS Y PASIVOS</t>
  </si>
  <si>
    <t>CUADRO 5</t>
  </si>
  <si>
    <t>VERIFICACIÓN VERTICAL AL CUADRO 5</t>
  </si>
  <si>
    <t>BALANCE</t>
  </si>
  <si>
    <t>CUADRO 6</t>
  </si>
  <si>
    <t>PATRIMONIO NETO ............................................................................................................</t>
  </si>
  <si>
    <t xml:space="preserve">Activos no financieros ...........................................................................................................  </t>
  </si>
  <si>
    <t>Activos fijos .........................................................................................................................</t>
  </si>
  <si>
    <t>Activos financieros .....................................................................................................................................................................</t>
  </si>
  <si>
    <t>Oro monetario y DEG [6221] ..........................................................................................................................................................................</t>
  </si>
  <si>
    <t>Billetes y monedas y depósitos [6212+6222] .........................................................................................................................................................................</t>
  </si>
  <si>
    <t>Títulos de deuda [6213+6223] ...........................................................................................................................................................................</t>
  </si>
  <si>
    <t>Préstamos  [6214+6224] ............................................................................................................................................................................</t>
  </si>
  <si>
    <t>Participaciones de capital y en fondos de inversión [6215+6225] ....................................................................................................</t>
  </si>
  <si>
    <t>Seguros, pensiones y sistemas de garantías estandarizadas   [6216+6226] ............................................................................................................................................................................</t>
  </si>
  <si>
    <t>Derivados fin. y opciones de compra de acciones por empleados [6217+6227] .</t>
  </si>
  <si>
    <t>Otras cuentas por cobrar [6218+6228] ......................................................................................................................</t>
  </si>
  <si>
    <t>Seguros, pensiones y sistemas de garantías estandarizadas   .............................................................................................................................................................................</t>
  </si>
  <si>
    <t>Seguros, pensiones y sistemas de garantías estandarizadas   ............................................................................................................................................................................</t>
  </si>
  <si>
    <t>Pasivos ............................................................................................................................................................................</t>
  </si>
  <si>
    <t>Derechos especiales de giro (DEG) [6321] .....................................................................................................................................................................</t>
  </si>
  <si>
    <t>Billetes y monedas y depósitos [6312+6322] ....................................................................................................................................................................</t>
  </si>
  <si>
    <t>Títulos de deuda [6313+6323] ....................................................................................................................................................................</t>
  </si>
  <si>
    <t>Préstamos [6314+6324] ..........................................................................................................................................</t>
  </si>
  <si>
    <t>Participaciones de capital y en fondos de inversión [6315+6325] ....................................................................................................</t>
  </si>
  <si>
    <t>Seguros, pensiones y sistemas de garantías estandarizadas   [6316+6326] .........................................................................................................................................</t>
  </si>
  <si>
    <t>Provisiones para las peticiones de fondos en virtud de garantías normalizadas ......................................................................................................................................................................</t>
  </si>
  <si>
    <t>Derivados fin. y opciones de compra de acciones por empleados [6317+6327] ........................................................................................................................................................................</t>
  </si>
  <si>
    <t>Otras cuentas por pagar [6318+6328] .......................................................................................................</t>
  </si>
  <si>
    <t>Derechos especiales de giro (DEG) .............................................................................................................................................................................</t>
  </si>
  <si>
    <t>derivados financieros y opciones de compra de acciones por parte de empleados.</t>
  </si>
  <si>
    <t>Patrimonio financiero neto [=62-63] ..............................................................................................................................................</t>
  </si>
  <si>
    <t>Partidas informativas de deuda</t>
  </si>
  <si>
    <t>Deuda bruta (D4) al valor de mercado .........................................................................................................................................................</t>
  </si>
  <si>
    <t>Pasivos D3 de deuda al valor de mercado ...................................................................................................................................................................</t>
  </si>
  <si>
    <t>Pasivos D2 de deuda al valor de mercado...................................................................................................................................................................</t>
  </si>
  <si>
    <t>Pasivos D1 de deuda al valor de mercado...................................................................................................................................................................</t>
  </si>
  <si>
    <t>Deuda bruta (D4) al valor nominal .........................................................................................................................................................</t>
  </si>
  <si>
    <t>Pasivos D3 de deuda al nominal valor ...................................................................................................................................................................</t>
  </si>
  <si>
    <t>Pasivos D2 de deuda al nominal valor ...................................................................................................................................................................</t>
  </si>
  <si>
    <t>Pasivos D1 de deuda al nominal valor ...................................................................................................................................................................</t>
  </si>
  <si>
    <t>Deuda bruta (D4) al valor facial .........................................................................................................................................................</t>
  </si>
  <si>
    <t>Pasivos D3 de deuda al valor facial ...................................................................................................................................................................</t>
  </si>
  <si>
    <t>Pasivos D2 de deuda al valor facial ...................................................................................................................................................................</t>
  </si>
  <si>
    <t>Pasivos D1 de deuda al valor facial ...................................................................................................................................................................</t>
  </si>
  <si>
    <t>Deuda neta (D4) al valor de mercado ...................................................................................................................................................................................</t>
  </si>
  <si>
    <t xml:space="preserve">Deuda bruta (D4) al valor de mercado, excluidos los activos en billetes y monedas y depósitos ................................................................................................................................................................................... </t>
  </si>
  <si>
    <t>Pasivos D3 de deuda,  excluidos los activos en billetes y monedas y depósitos ...................................................................................................................................................................................</t>
  </si>
  <si>
    <t>Pasivos D2 de deuda, excluidos los activos en billetes y monedas y depósitos ...................................................................................................................................................................................</t>
  </si>
  <si>
    <t>Pasivos D1 de deuda, excluidos los activos en billetes y monedas y depósitos ...................................................................................................................................................................................</t>
  </si>
  <si>
    <t xml:space="preserve">Activos en títulos negociables de alta calidad ................................................................................................................................................................................... </t>
  </si>
  <si>
    <t>Deuda pública bruta según la definición nacional .........................................................................................................................................................</t>
  </si>
  <si>
    <t>Saldos de apertura</t>
  </si>
  <si>
    <t>Activos no financieros (balance de apertura) .........................................................................................................................................................</t>
  </si>
  <si>
    <t>Activos financieros (balance de apertura) .........................................................................................................................................................</t>
  </si>
  <si>
    <t>Pasivos (balance de apertura) .........................................................................................................................................................</t>
  </si>
  <si>
    <t>Pasivos D1 de deuda al valor de mercado (balance de apertura) .........................................................................................................................................................</t>
  </si>
  <si>
    <t>Otras partidas informativas</t>
  </si>
  <si>
    <t>Préstamos concesionarios al nominal valor ...................................................................................................................................................................................</t>
  </si>
  <si>
    <t>Transferencias implícitas resultantes de préstamos a tasas de interés concesionarias ...................................................................................................................................................................................</t>
  </si>
  <si>
    <t>Atrasos ....................................................................................................................................................................................</t>
  </si>
  <si>
    <t>Pasivos contingentes explícitos ....................................................................................................................................................................................</t>
  </si>
  <si>
    <t>De los cuales: Deuda con garantía pública .......................................................................................................................</t>
  </si>
  <si>
    <t>Obligaciones implícitas netas por prestaciones de la seguridad social ................................................................................................................................................................................................................</t>
  </si>
  <si>
    <t>Activos correspondientes a préstamos en mora al valor facial ................................................................................................................................................................................................................</t>
  </si>
  <si>
    <t>Activos correspondientes a préstamos en mora al valor nominal ................................................................................................................................................................................................................</t>
  </si>
  <si>
    <t>VERIFICACIÓN VERTICAL AL CUADRO 6</t>
  </si>
  <si>
    <t>61=0 para CC y CT?</t>
  </si>
  <si>
    <t>(62-63)=0 para CC y CT?</t>
  </si>
  <si>
    <t>61x=0 para CC y CT?</t>
  </si>
  <si>
    <t>622x=0 para CC y CT?</t>
  </si>
  <si>
    <t>632x=0 para CC y CT?</t>
  </si>
  <si>
    <t>6201=6301 para CC y CT?</t>
  </si>
  <si>
    <t>6202=6302 para CC y CT?</t>
  </si>
  <si>
    <t>6203=6303 para CC y CT?</t>
  </si>
  <si>
    <t>6204=6304 para CC y CT?</t>
  </si>
  <si>
    <t>6205=6305 para CC y CT?</t>
  </si>
  <si>
    <t>6206=6306 para CC y CT?</t>
  </si>
  <si>
    <t>6207=6307 para CC y CT?</t>
  </si>
  <si>
    <t>6208=6308 para CC y CT?</t>
  </si>
  <si>
    <t>PASIVOS DE DEUDA AL VALOR NOMINAL/DE MERCADO</t>
  </si>
  <si>
    <t>CUADRO 6A</t>
  </si>
  <si>
    <t>Derechos especiales de giro .............................................................................................................</t>
  </si>
  <si>
    <t>Acreedores internos ...........................................................................................................................................................................</t>
  </si>
  <si>
    <t>Acreedores externos ...........................................................................................................................................................................</t>
  </si>
  <si>
    <t>Corto plazo, por vencimiento original ...........................................................................................................................................................................</t>
  </si>
  <si>
    <t>Largo plazo por vencimiento original, con vencimiento de pago en un año o menos..............................................................................................................................................................................</t>
  </si>
  <si>
    <t>Largo plazo por vencimiento original, con vencimiento de pago en más de un año ............................................................................................................................................................................................................................................................................................................................................................</t>
  </si>
  <si>
    <t>Denominada en moneda local ............................................................................................................................................................................</t>
  </si>
  <si>
    <t>Denominada en moneda extranjera ............................................................................................................................................................................</t>
  </si>
  <si>
    <t>Tasa de interés fija ...........................................................................................................................................................................</t>
  </si>
  <si>
    <t>Tasa de interés variable ...........................................................................................................................................................................</t>
  </si>
  <si>
    <t>Billetes y monedas y depósitos .............................................................................................................
Moneda y depósitos
Moneda y depósitos
Moneda y depósitos
Billetes y moneda y depósitos</t>
  </si>
  <si>
    <t>Denominados en moneda local ............................................................................................................................................................................</t>
  </si>
  <si>
    <t>Denominados en moneda extranjera ............................................................................................................................................................................</t>
  </si>
  <si>
    <t>Títulos de deuda al valor nominal ..............................................................................................................</t>
  </si>
  <si>
    <t>de la cual: denominada en moneda nacional ........................................................................</t>
  </si>
  <si>
    <t>Largo plazo por vencimiento original, con vencimiento de pago en un año o menos ..............................................................................................................................................................................</t>
  </si>
  <si>
    <t xml:space="preserve">Largo plazo por vencimiento original, con vencimiento de pago en más de un año ........................................................................................................................................................................... </t>
  </si>
  <si>
    <t>Títulos de deuda a valor de mercado ............................................................................................................................................................................</t>
  </si>
  <si>
    <t>Seguros, pensiones y sistemas de garantías estandarizadas  .............................................................................................................................................................................</t>
  </si>
  <si>
    <t>VERIFICACIÓN VERTICAL AL CUADRO 6A</t>
  </si>
  <si>
    <t>PASIVOS DE DEUDA AL VALOR FACIAL</t>
  </si>
  <si>
    <t>CUADRO 6B</t>
  </si>
  <si>
    <t>Títulos de deuda .............................................................................................................</t>
  </si>
  <si>
    <t>de la cual: denominada en moneda nacional .......................................................................</t>
  </si>
  <si>
    <t>Billetes y monedas y depósitos ......................................................................</t>
  </si>
  <si>
    <t>VERIFICACIÓN VERTICAL AL CUADRO 6B</t>
  </si>
  <si>
    <t>6301FA2=0 para CC y CT?</t>
  </si>
  <si>
    <t>6302FA2=0 para CC y CT?</t>
  </si>
  <si>
    <t>6303FA2=0 para CC y CT?</t>
  </si>
  <si>
    <t>6304FA2=0 para CC y CT?</t>
  </si>
  <si>
    <t>6306FA2=0 para CC y CT?</t>
  </si>
  <si>
    <t>6308FA2=0 para CC y CT?</t>
  </si>
  <si>
    <t>EROGACIÓN POR FUNCIONES DE GOBIERNO (CFG)</t>
  </si>
  <si>
    <t>CUADRO 7</t>
  </si>
  <si>
    <t>EROGACIÓN [=2M] ..............................................................................................................................................................................</t>
  </si>
  <si>
    <t>Servicios públicos generales ...............................................................................................................................................................................</t>
  </si>
  <si>
    <t>Órganos ejecutivos y legislativos, asuntos financieros y fiscales, asuntos exteriores .......................................................................................................................</t>
  </si>
  <si>
    <t>Ayuda económica exterior ...............................................................................................................................................................................</t>
  </si>
  <si>
    <t>Servicios generales ................................................................................................................................................................................</t>
  </si>
  <si>
    <t>Investigación básica  ................................................................................................................................................................................</t>
  </si>
  <si>
    <t>Investigación y desarrollo relacionados con los servicios públicos generales ............................................................</t>
  </si>
  <si>
    <t>Servicios públicos generales n.e.p. ................................................................................................................................</t>
  </si>
  <si>
    <t>Transacciones de deuda pública .................................................................................................................................................................................</t>
  </si>
  <si>
    <t>Transferencias de carácter general entre diferentes niveles de gobierno ................................................................................................................................</t>
  </si>
  <si>
    <t>Defensa ................................................................................................................................................................................</t>
  </si>
  <si>
    <t>Defensa militar ................................................................................................................................................................................</t>
  </si>
  <si>
    <t>Defensa civil ................................................................................................................................................................................</t>
  </si>
  <si>
    <t>Ayuda militar al exterior .................................................................................................................................................................................</t>
  </si>
  <si>
    <t>Investigación y desarrollo relacionados con la defensa .................................................................................................................................................................................</t>
  </si>
  <si>
    <t>Defensa no clasificada en otra parte .................................................................................................................................................................................</t>
  </si>
  <si>
    <t>Orden público y seguridad ................................................................................................................................................................................</t>
  </si>
  <si>
    <t>Servicios de policía .................................................................................................................................................................................</t>
  </si>
  <si>
    <t>Servicios de protección contra incendios .................................................................................................................................................................................</t>
  </si>
  <si>
    <t>Tribunales de justicia .................................................................................................................................................................................</t>
  </si>
  <si>
    <t>Prisiones .................................................................................................................................................</t>
  </si>
  <si>
    <t>Investigación y desarrollo relacionados con el orden público y la seguridad .................................................................................................................................................................................</t>
  </si>
  <si>
    <t>Orden público y seguridad n.e.p. ................................................................................................................................</t>
  </si>
  <si>
    <t>Asuntos económicos .....................................................................................................</t>
  </si>
  <si>
    <t>Asuntos económicos, comerciales y laborales en general ..................................................................................................................................................</t>
  </si>
  <si>
    <t>Agricultura, silvicultura, pesca y caza .................................................................................................................................................</t>
  </si>
  <si>
    <t>Combustibles y energía .................................................................................................................................................</t>
  </si>
  <si>
    <t>Minería, manufacturas y construcción .................................................................................................................................................</t>
  </si>
  <si>
    <t>Transporte ..................................................................................................................................................</t>
  </si>
  <si>
    <t>Comunicación ..................................................................................................................................................</t>
  </si>
  <si>
    <t>Otras industrias ..................................................................................................................................................</t>
  </si>
  <si>
    <t>Investigación y desarrollo relacionados con asuntos económicos .................................................................................................................................................. .................................................................................................................................................</t>
  </si>
  <si>
    <t>Asuntos económicos n.e.p. ................................................................................................................................</t>
  </si>
  <si>
    <t>Protección del medio ambiente ........................................................................................</t>
  </si>
  <si>
    <t>Ordenación de desechos ..................................................................................................................................................</t>
  </si>
  <si>
    <t>Ordenación de las aguas residuales ...................................................................................................................................................</t>
  </si>
  <si>
    <t>Reducción de la contaminación ...................................................................................................................................................</t>
  </si>
  <si>
    <t>Protección de la diversidad biológica y del paisaje ...................................................................................................................................................</t>
  </si>
  <si>
    <t>Investigación y desarrollo relacionados con la protección del medio ambiente ...................................................................................................................................................</t>
  </si>
  <si>
    <t>Protección del medio ambiente n.e.p. ................................................................................................................................</t>
  </si>
  <si>
    <t>Vivienda y servicios comunitarios ..................................................................................................................................................</t>
  </si>
  <si>
    <t>Urbanización ...................................................................................................................................................</t>
  </si>
  <si>
    <t>Desarrollo comunitario ..................................................................................................................................................</t>
  </si>
  <si>
    <t>Abastecimiento de agua ...................................................................................................................................................</t>
  </si>
  <si>
    <t>Alumbrado público  ...................................................................................................................................................</t>
  </si>
  <si>
    <t xml:space="preserve"> Investigación y desarrollo relacionados con la vivienda y los servicios comunitarios ...................................................................................................................................................</t>
  </si>
  <si>
    <t>Vivienda y servicios comunitarios n.e.p. ................................................................................................................................</t>
  </si>
  <si>
    <t>Salud ...................................................................................................................................................</t>
  </si>
  <si>
    <t>Productos, útiles y equipo médicos ....................................................................................................................................................</t>
  </si>
  <si>
    <t>Servicios de consulta externa ....................................................................................................................................................</t>
  </si>
  <si>
    <t>Servicios de hospital ....................................................................................................................................................</t>
  </si>
  <si>
    <t>Servicios de salud pública ....................................................................................................................................................</t>
  </si>
  <si>
    <t>Investigación y desarrollo relacionados con la salud ....................................................................................................................................................</t>
  </si>
  <si>
    <t>Salud n.e.p. .....................................................................................................................................................</t>
  </si>
  <si>
    <t>Actividades recreativas, cultura y religión ......................................................................................................................................................</t>
  </si>
  <si>
    <t>Servicios recreativos y deportivos ......................................................................................................................................................</t>
  </si>
  <si>
    <t>Servicios culturales ......................................................................................................................................................</t>
  </si>
  <si>
    <t>Servicios de radio y televisión y servicios editoriales ......................................................................................................................................................</t>
  </si>
  <si>
    <t>Servicios religiosos y otros servicios comunitarios .......................................................................................................................................................</t>
  </si>
  <si>
    <t>Investigación y desarrollo relacionados con esparcimiento, cultura y religión .......................................</t>
  </si>
  <si>
    <t>Actividades recreativas, cultura y religión n.e.p.  ................................................................................................................................</t>
  </si>
  <si>
    <t>Educación .......................................................................................................................................................</t>
  </si>
  <si>
    <t>Enseñanza preescolar y primaria ........................................................................................................................................................</t>
  </si>
  <si>
    <t>Educación secundaria .......................................................................................................................................................</t>
  </si>
  <si>
    <t>Enseñanza postsecundaria no terciaria ................................................................................................................................</t>
  </si>
  <si>
    <t>Enseñanza terciaria .......................................................................................................................................................</t>
  </si>
  <si>
    <t>Enseñanza no atribuible a ningún nivel .......................................................................................................................................................</t>
  </si>
  <si>
    <t>Servicios auxiliares de la educación .......................................................................................................................................................</t>
  </si>
  <si>
    <t>Investigación y desarrollo relacionados con la educación .......................................................................................................................................................</t>
  </si>
  <si>
    <t>Educación no clasificada en otra parte .......................................................................................................................................................</t>
  </si>
  <si>
    <t>Protección social .......................................................................................................................................................</t>
  </si>
  <si>
    <t>Enfermedad e incapacidad ........................................................................................................................................................</t>
  </si>
  <si>
    <t>Edad avanzada ........................................................................................................................................................</t>
  </si>
  <si>
    <t>Supérstites ........................................................................................................................................................</t>
  </si>
  <si>
    <t>Familia e hijos ........................................................................................................................................................</t>
  </si>
  <si>
    <t>Desempleo .........................................................................................................................................................</t>
  </si>
  <si>
    <t>Vivienda .........................................................................................................................................................</t>
  </si>
  <si>
    <t>Exclusión social n.e.p. .......................................................................................................................................................</t>
  </si>
  <si>
    <t>Investigación y desarrollo relacionados con la protección social ........................................................................................................................................................</t>
  </si>
  <si>
    <t>Protección social n.e.p. ................................................................................................................................</t>
  </si>
  <si>
    <t>Discrepancia estadística: Erogación [2M] vs Suma de divisiones de CFG [7] ..................................................................................................................</t>
  </si>
  <si>
    <t>VERIFICACIÓN VERTICAL AL CUADRO 7</t>
  </si>
  <si>
    <t>Erogación total = Gasto + Inversión neta en activos no financieros (=2M):</t>
  </si>
  <si>
    <t>7=2M</t>
  </si>
  <si>
    <t>TRANSACCIONES EN ACTIVOS Y PASIVOS FINANCIEROS POR SECTOR DE LA CONTRAPARTE</t>
  </si>
  <si>
    <t>CUADRO 8A</t>
  </si>
  <si>
    <t>Adquisición neta de activos financieros [=32] ...........................................................................................................................................................</t>
  </si>
  <si>
    <t>Deudores internos [=321] ..........................................................................................................................................................</t>
  </si>
  <si>
    <t>Gobierno general ...........................................................................................................................................................</t>
  </si>
  <si>
    <t>Gobierno central ...........................................................................................................................................................</t>
  </si>
  <si>
    <t>Gobierno central presupuestario ...........................................................................................................................................................</t>
  </si>
  <si>
    <t>Gobierno central extrapresupuestario ...........................................................................................................................................................</t>
  </si>
  <si>
    <t>Fondos de seguridad social ...........................................................................................................................................................</t>
  </si>
  <si>
    <t>Gobiernos estatales ...........................................................................................................................................................</t>
  </si>
  <si>
    <t>Gobiernos locales ...........................................................................................................................................................</t>
  </si>
  <si>
    <t>Banco central ...........................................................................................................................................................</t>
  </si>
  <si>
    <t>Sociedades captadoras de depósitos excepto el banco central ..........................................................................................................................................................</t>
  </si>
  <si>
    <t>Otras sociedades financieras ...........................................................................................................................................................</t>
  </si>
  <si>
    <t>Sociedades no financieras ...........................................................................................................................................................</t>
  </si>
  <si>
    <t>Hogares e instituciones sin fines de lucro que sirven a los hogares ..........................................................................................................................................................</t>
  </si>
  <si>
    <t>Deudores externos [=322] ..........................................................................................................................................................</t>
  </si>
  <si>
    <t>Organismos internacionales ...........................................................................................................................................................</t>
  </si>
  <si>
    <t>Sociedades financieras distintas de organismos internacionales ..............................................................................................................................................................................</t>
  </si>
  <si>
    <t>Otros no residentes ...........................................................................................................................................................</t>
  </si>
  <si>
    <t>Incurrimiento neto de pasivos [=33] ...........................................................................................................................................................</t>
  </si>
  <si>
    <t>Acreedores internos [=331] .....................................................................................................................................................</t>
  </si>
  <si>
    <t>Acreedores externos [=332] ..........................................................................................................................................................</t>
  </si>
  <si>
    <t>VERIFICACIÓN VERTICAL AL CUADRO 8A</t>
  </si>
  <si>
    <t>8212,…,8216=0 para CC y CT?</t>
  </si>
  <si>
    <t>822x=0 para CC y CT?</t>
  </si>
  <si>
    <t>8312,…,8316=0 para CC y CT?</t>
  </si>
  <si>
    <t>832x=0 para CC y CT?</t>
  </si>
  <si>
    <t>8211x=0 para GG?</t>
  </si>
  <si>
    <t>8311x=0 para GG?</t>
  </si>
  <si>
    <t>(82-83)=0 para CC y CT?</t>
  </si>
  <si>
    <t>133=0 para GG?</t>
  </si>
  <si>
    <t>1331=0 para GG?</t>
  </si>
  <si>
    <t>1332=0 para GG?</t>
  </si>
  <si>
    <t>14113=0 para GG?</t>
  </si>
  <si>
    <t>12x=0 para CC y CT?</t>
  </si>
  <si>
    <t>131x/132x=0 para CC y CT?</t>
  </si>
  <si>
    <t>14111/14112=0 para CC y CT?</t>
  </si>
  <si>
    <t>1412,1413,1414=0 para CC y CT?</t>
  </si>
  <si>
    <t>1416=0 para CC y CT?</t>
  </si>
  <si>
    <t>14412,1442=0 para CC y CT?</t>
  </si>
  <si>
    <t>1111,1112=0 para CC y CT?</t>
  </si>
  <si>
    <t>133=263 para CC  y CT?</t>
  </si>
  <si>
    <t>1331=2631 para CC y CT?</t>
  </si>
  <si>
    <t>1332=2632 para CC y CT?</t>
  </si>
  <si>
    <t>14113=243 para CC y CT?</t>
  </si>
  <si>
    <t>1415=2814 para CC y CT?</t>
  </si>
  <si>
    <t>142=22 para CC y CT?</t>
  </si>
  <si>
    <t>14411=253 para CC y CT?</t>
  </si>
  <si>
    <t>263=0 para GG?</t>
  </si>
  <si>
    <t>2631=0 para GG?</t>
  </si>
  <si>
    <t>2632=0 para GG?</t>
  </si>
  <si>
    <t>243=0 para GG?</t>
  </si>
  <si>
    <t>21x=0 para CC y CT?</t>
  </si>
  <si>
    <t>241/242=0 para CC y CT?</t>
  </si>
  <si>
    <t>251/252=0 para CC y CT?</t>
  </si>
  <si>
    <t>261x/262x=0 para CC y CT?</t>
  </si>
  <si>
    <t>27x=0 para CC y CT?</t>
  </si>
  <si>
    <t>2811,2812,2813=0 para CC y CT?</t>
  </si>
  <si>
    <t>2815=0 para CC y CT?</t>
  </si>
  <si>
    <t>282x=0 para CC y CT?</t>
  </si>
  <si>
    <t>41=0 para CC y CT?</t>
  </si>
  <si>
    <t>(42-43)=0 para CC y CT?</t>
  </si>
  <si>
    <t>51x=0 para CC y CT?</t>
  </si>
  <si>
    <t>522=0 para CC y CT?</t>
  </si>
  <si>
    <t>(52-53)=0 para CC y CT?</t>
  </si>
  <si>
    <t>51=0 para CC y CT?</t>
  </si>
  <si>
    <t>532=0 para CC y CT?</t>
  </si>
  <si>
    <t>5201=5301 para CC y CT?</t>
  </si>
  <si>
    <t>5202=5302 para CC y CT?</t>
  </si>
  <si>
    <t>5203=5303 para CC y CT?</t>
  </si>
  <si>
    <t>5204=5304 para CC y CT?</t>
  </si>
  <si>
    <t>5205=5305 para CC y CT?</t>
  </si>
  <si>
    <t>5206=5306 para CC y CT?</t>
  </si>
  <si>
    <t>5207=5307 para CC y CT?</t>
  </si>
  <si>
    <t>5208=5308 para CC y CT?</t>
  </si>
  <si>
    <t>41x=0 para CC y CT?</t>
  </si>
  <si>
    <t>422=0 para CC y CT?</t>
  </si>
  <si>
    <t>432=0 para CC y CT?</t>
  </si>
  <si>
    <t>4201=4301 para CC y CT?</t>
  </si>
  <si>
    <t>4202=4302 para CC y CT?</t>
  </si>
  <si>
    <t>4203=4303 para CC y CT?</t>
  </si>
  <si>
    <t>4204=4304 para CC y CT?</t>
  </si>
  <si>
    <t>4205=4305 para CC y CT?</t>
  </si>
  <si>
    <t>4206=4306 para CC y CT?</t>
  </si>
  <si>
    <t>4207=4307 para CC y CT?</t>
  </si>
  <si>
    <t>4208=4308 para CC y CT?</t>
  </si>
  <si>
    <t>6301NA2=0 para CC y CT?</t>
  </si>
  <si>
    <t>6302NA2=0 para CC y CT?</t>
  </si>
  <si>
    <t>6303NA2=0 para CC y CT?</t>
  </si>
  <si>
    <t>6303MA2=0 para CC y CT?</t>
  </si>
  <si>
    <t>6304NA2=0 para CC y CT?</t>
  </si>
  <si>
    <t>6306NA2=0 para CC y CT?</t>
  </si>
  <si>
    <t>6308NA2=0 para CC y CT?</t>
  </si>
  <si>
    <t>7018=0 para GG?</t>
  </si>
  <si>
    <t>7017=Cuadro2:24</t>
  </si>
  <si>
    <t>SALDOS DE ACTIVOS Y PASIVOS FINANCIEROS POR SECTOR DE LA CONTRAPARTE</t>
  </si>
  <si>
    <t>Activos financieros [=62] ...........................................................................................................................................................</t>
  </si>
  <si>
    <t>Deudores internos [=621] ..........................................................................................................................................................</t>
  </si>
  <si>
    <t>Deudores externos [=622] ..........................................................................................................................................................</t>
  </si>
  <si>
    <t>Pasivos [=63] ...........................................................................................................................................................</t>
  </si>
  <si>
    <t>Acreedores internos [=631] .....................................................................................................................................................</t>
  </si>
  <si>
    <t>Acreedores externos [=632] ..........................................................................................................................................................</t>
  </si>
  <si>
    <t>CUADRO 8B</t>
  </si>
  <si>
    <t>(682-683)=0 para CC y CT?</t>
  </si>
  <si>
    <t>68211x=0 para GG?</t>
  </si>
  <si>
    <t>68311x=0 para GG?</t>
  </si>
  <si>
    <t>68212,…,68216=0 para CC y CT?</t>
  </si>
  <si>
    <t>6822x=0 para CC y CT?</t>
  </si>
  <si>
    <t>68312,…,68316=0 para CC y CT?</t>
  </si>
  <si>
    <t>6832x=0 para CC y CT?</t>
  </si>
  <si>
    <t>VERIFICACIÓN VERTICAL AL CUADRO 8B</t>
  </si>
  <si>
    <t>91=0 para CC y CT?</t>
  </si>
  <si>
    <t>(92-93)=0 para CC y CT?</t>
  </si>
  <si>
    <t>91x=0 para CC y CT?</t>
  </si>
  <si>
    <t>922=0 para CC y CT?</t>
  </si>
  <si>
    <t>932=0 para CC y CT?</t>
  </si>
  <si>
    <t>9201=9301 para CC y CT?</t>
  </si>
  <si>
    <t>9202=9302 para CC y CT?</t>
  </si>
  <si>
    <t>9203=9303 para CC y CT?</t>
  </si>
  <si>
    <t>9204=9304 para CC y CT?</t>
  </si>
  <si>
    <t>9205=9305 para CC y CT?</t>
  </si>
  <si>
    <t>9206=9306 para CC y CT?</t>
  </si>
  <si>
    <t>9207=9307 para CC y CT?</t>
  </si>
  <si>
    <t>9208=9308 para CC y CT?</t>
  </si>
  <si>
    <t>TOTAL OTROS FLUJOS ECONÓMICOS EN ACTIVOS Y PASIVOS</t>
  </si>
  <si>
    <t>CUADRO 9</t>
  </si>
  <si>
    <t>VARIACIÓN EN EL PATRIMONIO NETO COMO RESULTADO DE OTROS FLUJOS ECONÓMICOS ..........................................................</t>
  </si>
  <si>
    <t>Otros flujos económicos en activos no financieros ...............................................................................................................................................................................................................................</t>
  </si>
  <si>
    <t>Otros flujos económicos en activos financieros ..........................................................................................................................................................................................</t>
  </si>
  <si>
    <t>Internos .......................................................................................................................................................................</t>
  </si>
  <si>
    <t>Externos .......................................................................................................................................................................</t>
  </si>
  <si>
    <t>Otros flujos económicos en pasivos ........................................................................................................................................................................</t>
  </si>
  <si>
    <t>Internos ........................................................................................................................................................................</t>
  </si>
  <si>
    <t>Externos ........................................................................................................................................................................</t>
  </si>
  <si>
    <t>Variac. del patrim. financ. neto como resultado de otros flujos económicos [92-93] ....................................................................................</t>
  </si>
  <si>
    <t>Deuda bruta (D4) al valor de mercado: otros flujos económicos ...................................................................................................................................................................</t>
  </si>
  <si>
    <t>Pasivos D3 de deuda al valor de mercado: otros flujos económicos  ...................................................................................................................................................................</t>
  </si>
  <si>
    <t>Pasivos D2 de deuda al valor de mercado: otros flujos económicos  ...................................................................................................................................................................</t>
  </si>
  <si>
    <t>Pasivos D1 de deuda al valor de mercado: otros flujos económicos  ...................................................................................................................................................................</t>
  </si>
  <si>
    <t>VERIFICACIÓN VERTICAL AL CUADRO 9</t>
  </si>
  <si>
    <t>Cuadro 9 vs Cuadros 4 y 5:</t>
  </si>
  <si>
    <t>GOB=0 para CC y CT?</t>
  </si>
  <si>
    <t>NOB=0 para CC y CT?</t>
  </si>
  <si>
    <t>NLB=0 para CC y CT?</t>
  </si>
  <si>
    <t>CIO=0 para CC y CT?</t>
  </si>
  <si>
    <t>C31=0 para CC y CT?</t>
  </si>
  <si>
    <t>CSD=0 para CC y CT?</t>
  </si>
  <si>
    <t>(C32x-C33+NCB)=0 para CC y CT?</t>
  </si>
  <si>
    <t>C12=0 para CC y CT?</t>
  </si>
  <si>
    <t>C21=0 para CC y CT?</t>
  </si>
  <si>
    <t>C27=0 para CC y CT?</t>
  </si>
  <si>
    <t>C322x=0 para CC y CT?</t>
  </si>
  <si>
    <t>C332=0 para CC y CT?</t>
  </si>
  <si>
    <t>NOB=EstadoI:NOB</t>
  </si>
  <si>
    <t>CUESTIONARIO ANUAL DE EFP</t>
  </si>
  <si>
    <t>CUADROS ESTADÍSTICOS</t>
  </si>
  <si>
    <t>Cuadro 1</t>
  </si>
  <si>
    <t>Cuadro 2</t>
  </si>
  <si>
    <t>Cuadro 3</t>
  </si>
  <si>
    <t>Cuadro 4</t>
  </si>
  <si>
    <t>Cuadro 5</t>
  </si>
  <si>
    <t>Cuadro 6</t>
  </si>
  <si>
    <t>Cuadro 7</t>
  </si>
  <si>
    <t>Cuadro 9</t>
  </si>
  <si>
    <t>Cuadro 8B</t>
  </si>
  <si>
    <t>Cuadro 8A</t>
  </si>
  <si>
    <t>Cuadro 6A</t>
  </si>
  <si>
    <t>Estado II</t>
  </si>
  <si>
    <t>NATURALEZA DE LOS DATOS Y PRÁCTICAS CONTABLES</t>
  </si>
  <si>
    <t>Escriba NA para indicar que los datos "no están disponibles". Escriba NP para indicar que "no se aplica".</t>
  </si>
  <si>
    <t>Bases de registro: ingreso (Cuadro 1)</t>
  </si>
  <si>
    <t>Bases de registro: gasto (Cuardro 2)</t>
  </si>
  <si>
    <t>Bases de registro: inversión en activos no financieros (Cuadro 3)</t>
  </si>
  <si>
    <t>Bases de registro: transacciones financieras (Cuadro 3)</t>
  </si>
  <si>
    <t>Inversión en activos no financieros (Cuadro 3)</t>
  </si>
  <si>
    <t>Valoración de los activos no financieros (Cuadro 6)</t>
  </si>
  <si>
    <t>Valoración de los activos financieros (Cuadro 6)</t>
  </si>
  <si>
    <t>Valoración de los pasivos (Cuadro 6)</t>
  </si>
  <si>
    <t>Controles básicos</t>
  </si>
  <si>
    <t>Cuestionario de Estadísticas de Finanzas Públicas</t>
  </si>
  <si>
    <t>Instrucciones para completar el formulario</t>
  </si>
  <si>
    <t>Este cuestionario es para reportar los datos anuales de EFP para su inclusión en el Anuario Estadístico de Finanzas Públicas del FMI y su base de datos en línea. Se solicita a los países que completen este formulario, en base a su mejor esfuerzo posible, y que envíen sus datos al Departamento de Estadística del FMI.</t>
  </si>
  <si>
    <r>
      <t xml:space="preserve">1. </t>
    </r>
    <r>
      <rPr>
        <b/>
        <sz val="10"/>
        <rFont val="Segoe UI"/>
        <family val="2"/>
      </rPr>
      <t>Por favor completar todas las celdas requeridas en el cuestionario</t>
    </r>
    <r>
      <rPr>
        <sz val="10"/>
        <rFont val="Segoe UI"/>
        <family val="2"/>
      </rPr>
      <t xml:space="preserve"> - esto incluye los metadatos de la página de portada y las celdas del Estado II, y de los Cuadros 1-9. </t>
    </r>
  </si>
  <si>
    <r>
      <t xml:space="preserve">2. La página de portada incluye algunos controles básicos de validación - inclyendo que la propia página de portada ha sido completada, que se validaron los chequeos básicos verticales del propio cuestionario, y que todas las celdas del cuestionario han sido completadas. </t>
    </r>
    <r>
      <rPr>
        <b/>
        <sz val="10"/>
        <rFont val="Segoe UI"/>
        <family val="2"/>
      </rPr>
      <t>Por favor no envíe el cuestionario hasta que no cierren todos los chequeos previamente mencionados.</t>
    </r>
    <r>
      <rPr>
        <sz val="10"/>
        <rFont val="Segoe UI"/>
        <family val="2"/>
      </rPr>
      <t xml:space="preserve"> </t>
    </r>
  </si>
  <si>
    <t>3.En resumen, revise las verificaciones verticales, horizontales y de otro tipo del cuestionario para asegurar que los datos pasan los controles básicos de consolidación y los subtotales son los correctos.</t>
  </si>
  <si>
    <t xml:space="preserve">4. Las celdas están codificadas según colores: </t>
  </si>
  <si>
    <t>Celdas Blancas deben de ser completadas por los compiladores</t>
  </si>
  <si>
    <t>Celdas Azules se autocompletan - incluyendo las celdas del Estado I, III y IV que son completadas con los datos de lso Cuadros 1-9.</t>
  </si>
  <si>
    <t>Celdas Grises han sido pre completados con ceros - estos items son ceros en el maco analítico del MEFP</t>
  </si>
  <si>
    <t>5. Las celdas Blancas deben ser completadas tanto con ceros, un valor, NA (cuando los datos no están disponibles) o NP (por ej. cuándo el sector no existe en el país, la celda se completara con No aplicable-NP).</t>
  </si>
  <si>
    <t>6. Excepto por las celdas en Blanco, los cuadros estan protegidos y no pueden ser corregidos.</t>
  </si>
  <si>
    <r>
      <t xml:space="preserve">7. </t>
    </r>
    <r>
      <rPr>
        <b/>
        <sz val="10"/>
        <color theme="1"/>
        <rFont val="Segoe UI"/>
        <family val="2"/>
      </rPr>
      <t>Por favor no elimine nio introduzca filas o columnas en ninguna de las hojas del archivo.</t>
    </r>
  </si>
  <si>
    <t>8. Introduzca los datos con la misma magnitud y la misma moneda que se indica en la portada.</t>
  </si>
  <si>
    <t>8. Cuando haya terminado de introducir los datos, guarde el archivo, conservando el nombre de archivo original asignado por el sistema (ICS).</t>
  </si>
  <si>
    <t>9. Vuelva al sistema (ICS) y seleccione el botón "Cargar" para transmitirlo al Departamento de Estadísticas del FMI.</t>
  </si>
  <si>
    <t xml:space="preserve">Por ayuda con el sistema ICS, referrirse a http://datareportinghelp.imf.org/ </t>
  </si>
  <si>
    <t>Por preguntas metodologicas y soporte tecnico, por favor contactar: stagodata@imf.org</t>
  </si>
  <si>
    <t>Controles básicos chequeados: SI /NO</t>
  </si>
  <si>
    <t>Ver detalles a la derecha</t>
  </si>
  <si>
    <t xml:space="preserve">Lista de verificación y controles básicos </t>
  </si>
  <si>
    <t>Portada completa</t>
  </si>
  <si>
    <t>Año fiscal completo</t>
  </si>
  <si>
    <t>Nombre de la moneda inluído</t>
  </si>
  <si>
    <t>Magnitud incluida</t>
  </si>
  <si>
    <t>Naturaleza de los datos y prácticas contables</t>
  </si>
  <si>
    <t>Controles chequeados</t>
  </si>
  <si>
    <t>Se pide a los compiladores que rellenen todas las casillas en blanco en el cuestionario, ya sea con un valor, cero, NA para no disponible o NP para no aplicable (donde no existe un subsector) - confirme que todas las celdas se completan utilizando la lista de verificación.</t>
  </si>
  <si>
    <t>Otros Componentes:</t>
  </si>
  <si>
    <t>Belarusian Rubles (BYR)</t>
  </si>
  <si>
    <t>Belarusian Rubles, New (BYN)</t>
  </si>
  <si>
    <t>233</t>
  </si>
  <si>
    <t>2016</t>
  </si>
  <si>
    <t>Colombia</t>
  </si>
  <si>
    <t>233GYQ14_2016</t>
  </si>
  <si>
    <t>V1</t>
  </si>
  <si>
    <t>Ministerio de Hacienda y Credito Publico</t>
  </si>
  <si>
    <t>Diana Carolina Escobar Velásquez</t>
  </si>
  <si>
    <t>diana.escobar@minhacienda.gov.co</t>
  </si>
  <si>
    <t>P</t>
  </si>
  <si>
    <t>AC</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</si>
</sst>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43" formatCode="_(* #,##0.00_);_(* \(#,##0.00\);_(* &quot;-&quot;??_);_(@_)"/>
    <numFmt numFmtId="164" formatCode="_-* #,##0_-;\-* #,##0_-;_-* &quot;-&quot;_-;_-@_-"/>
    <numFmt numFmtId="165" formatCode="_-&quot;$&quot;* #,##0_-;\-&quot;$&quot;* #,##0_-;_-&quot;$&quot;* &quot;-&quot;_-;_-@_-"/>
    <numFmt numFmtId="166" formatCode="_-&quot;$&quot;* #,##0.00_-;\-&quot;$&quot;* #,##0.00_-;_-&quot;$&quot;* &quot;-&quot;??_-;_-@_-"/>
    <numFmt numFmtId="167" formatCode="#,##0.0"/>
    <numFmt numFmtId="168" formatCode="[$-409]d\-mmm\-yy;@"/>
    <numFmt numFmtId="169" formatCode="mmmm\ dd"/>
  </numFmts>
  <fonts count="86" x14ac:knownFonts="1">
    <font>
      <sz val="10"/>
      <name val="Arial"/>
      <family val="2"/>
    </font>
    <font>
      <sz val="11"/>
      <color theme="1"/>
      <name val="Calibri"/>
      <family val="2"/>
      <scheme val="minor"/>
    </font>
    <font>
      <b/>
      <sz val="7.5"/>
      <name val="Arial"/>
      <family val="2"/>
    </font>
    <font>
      <sz val="7.5"/>
      <name val="Arial"/>
      <family val="2"/>
    </font>
    <font>
      <i/>
      <sz val="7.5"/>
      <name val="Arial"/>
      <family val="2"/>
    </font>
    <font>
      <b/>
      <sz val="9"/>
      <name val="Arial"/>
      <family val="2"/>
    </font>
    <font>
      <sz val="10"/>
      <name val="Times New Roman"/>
      <family val="1"/>
    </font>
    <font>
      <sz val="7.5"/>
      <color indexed="12"/>
      <name val="Arial"/>
      <family val="2"/>
    </font>
    <font>
      <sz val="7.5"/>
      <color indexed="10"/>
      <name val="Arial"/>
      <family val="2"/>
    </font>
    <font>
      <b/>
      <sz val="10"/>
      <color indexed="10"/>
      <name val="Arial"/>
      <family val="2"/>
    </font>
    <font>
      <sz val="7.5"/>
      <color indexed="17"/>
      <name val="Arial"/>
      <family val="2"/>
    </font>
    <font>
      <b/>
      <vertAlign val="superscript"/>
      <sz val="9"/>
      <name val="Arial"/>
      <family val="2"/>
    </font>
    <font>
      <sz val="7"/>
      <name val="Arial"/>
      <family val="2"/>
    </font>
    <font>
      <sz val="7"/>
      <color indexed="10"/>
      <name val="Arial"/>
      <family val="2"/>
    </font>
    <font>
      <b/>
      <sz val="7"/>
      <name val="Arial"/>
      <family val="2"/>
    </font>
    <font>
      <sz val="7"/>
      <color indexed="17"/>
      <name val="Arial"/>
      <family val="2"/>
    </font>
    <font>
      <sz val="9"/>
      <name val="Arial"/>
      <family val="2"/>
    </font>
    <font>
      <b/>
      <sz val="9"/>
      <color indexed="10"/>
      <name val="Arial"/>
      <family val="2"/>
    </font>
    <font>
      <b/>
      <vertAlign val="superscript"/>
      <sz val="9"/>
      <color indexed="10"/>
      <name val="Arial"/>
      <family val="2"/>
    </font>
    <font>
      <b/>
      <sz val="9"/>
      <color indexed="14"/>
      <name val="Arial"/>
      <family val="2"/>
    </font>
    <font>
      <b/>
      <vertAlign val="superscript"/>
      <sz val="9"/>
      <color indexed="14"/>
      <name val="Arial"/>
      <family val="2"/>
    </font>
    <font>
      <vertAlign val="superscript"/>
      <sz val="8"/>
      <name val="Arial"/>
      <family val="2"/>
    </font>
    <font>
      <u/>
      <sz val="7"/>
      <name val="Arial"/>
      <family val="2"/>
    </font>
    <font>
      <b/>
      <u/>
      <sz val="9"/>
      <color indexed="57"/>
      <name val="Arial"/>
      <family val="2"/>
    </font>
    <font>
      <b/>
      <u/>
      <sz val="9"/>
      <color indexed="20"/>
      <name val="Arial"/>
      <family val="2"/>
    </font>
    <font>
      <sz val="9"/>
      <name val="Tahoma"/>
      <family val="2"/>
    </font>
    <font>
      <b/>
      <sz val="10"/>
      <name val="Segoe UI"/>
      <family val="2"/>
    </font>
    <font>
      <b/>
      <sz val="7.5"/>
      <name val="Segoe UI"/>
      <family val="2"/>
    </font>
    <font>
      <sz val="7.5"/>
      <name val="Segoe UI"/>
      <family val="2"/>
    </font>
    <font>
      <sz val="10"/>
      <name val="Segoe UI"/>
      <family val="2"/>
    </font>
    <font>
      <b/>
      <sz val="9"/>
      <name val="Segoe UI"/>
      <family val="2"/>
    </font>
    <font>
      <sz val="7.5"/>
      <color indexed="12"/>
      <name val="Segoe UI"/>
      <family val="2"/>
    </font>
    <font>
      <sz val="7"/>
      <name val="Segoe UI"/>
      <family val="2"/>
    </font>
    <font>
      <sz val="7.5"/>
      <color indexed="10"/>
      <name val="Segoe UI"/>
      <family val="2"/>
    </font>
    <font>
      <b/>
      <sz val="23"/>
      <name val="Segoe UI"/>
      <family val="2"/>
    </font>
    <font>
      <b/>
      <sz val="16"/>
      <name val="Segoe UI"/>
      <family val="2"/>
    </font>
    <font>
      <b/>
      <sz val="14"/>
      <name val="Segoe UI"/>
      <family val="2"/>
    </font>
    <font>
      <sz val="14"/>
      <name val="Segoe UI"/>
      <family val="2"/>
    </font>
    <font>
      <sz val="11"/>
      <name val="Segoe UI"/>
      <family val="2"/>
    </font>
    <font>
      <sz val="12"/>
      <name val="Segoe UI"/>
      <family val="2"/>
    </font>
    <font>
      <b/>
      <sz val="12"/>
      <name val="Segoe UI"/>
      <family val="2"/>
    </font>
    <font>
      <b/>
      <sz val="12"/>
      <color indexed="12"/>
      <name val="Segoe UI"/>
      <family val="2"/>
    </font>
    <font>
      <sz val="8"/>
      <name val="Segoe UI"/>
      <family val="2"/>
    </font>
    <font>
      <b/>
      <sz val="10"/>
      <color indexed="50"/>
      <name val="Segoe UI"/>
      <family val="2"/>
    </font>
    <font>
      <b/>
      <sz val="7"/>
      <name val="Segoe UI"/>
      <family val="2"/>
    </font>
    <font>
      <i/>
      <sz val="7"/>
      <name val="Segoe UI"/>
      <family val="2"/>
    </font>
    <font>
      <b/>
      <u/>
      <sz val="9"/>
      <name val="Segoe UI"/>
      <family val="2"/>
    </font>
    <font>
      <b/>
      <i/>
      <sz val="7"/>
      <name val="Segoe UI"/>
      <family val="2"/>
    </font>
    <font>
      <i/>
      <sz val="7.5"/>
      <name val="Segoe UI"/>
      <family val="2"/>
    </font>
    <font>
      <sz val="7.5"/>
      <name val="Segoe Print"/>
      <family val="2"/>
    </font>
    <font>
      <sz val="7.5"/>
      <color indexed="12"/>
      <name val="Segoe Print"/>
      <family val="2"/>
    </font>
    <font>
      <sz val="10"/>
      <name val="Segoe Print"/>
      <family val="2"/>
    </font>
    <font>
      <b/>
      <u/>
      <sz val="7.5"/>
      <name val="Segoe UI"/>
      <family val="2"/>
    </font>
    <font>
      <b/>
      <i/>
      <sz val="7.5"/>
      <name val="Segoe UI"/>
      <family val="2"/>
    </font>
    <font>
      <b/>
      <sz val="7.5"/>
      <color indexed="10"/>
      <name val="Segoe UI"/>
      <family val="2"/>
    </font>
    <font>
      <vertAlign val="subscript"/>
      <sz val="8"/>
      <name val="Segoe UI"/>
      <family val="2"/>
    </font>
    <font>
      <b/>
      <vertAlign val="subscript"/>
      <sz val="8.25"/>
      <name val="Segoe UI"/>
      <family val="2"/>
    </font>
    <font>
      <vertAlign val="subscript"/>
      <sz val="8.25"/>
      <name val="Segoe UI"/>
      <family val="2"/>
    </font>
    <font>
      <b/>
      <sz val="10"/>
      <color theme="1"/>
      <name val="Arial"/>
      <family val="2"/>
    </font>
    <font>
      <sz val="7"/>
      <color rgb="FF0000FF"/>
      <name val="Segoe UI"/>
      <family val="2"/>
    </font>
    <font>
      <sz val="7.5"/>
      <color rgb="FF0000FF"/>
      <name val="Segoe UI"/>
      <family val="2"/>
    </font>
    <font>
      <sz val="7.5"/>
      <color rgb="FFFF0000"/>
      <name val="Segoe UI"/>
      <family val="2"/>
    </font>
    <font>
      <sz val="10"/>
      <color rgb="FFFF0000"/>
      <name val="Segoe UI"/>
      <family val="2"/>
    </font>
    <font>
      <sz val="7.5"/>
      <color theme="0"/>
      <name val="Segoe UI"/>
      <family val="2"/>
    </font>
    <font>
      <sz val="8"/>
      <name val="Calibri"/>
      <family val="2"/>
      <scheme val="minor"/>
    </font>
    <font>
      <sz val="9"/>
      <name val="Segoe UI"/>
      <family val="2"/>
    </font>
    <font>
      <b/>
      <sz val="10"/>
      <name val="Times New Roman"/>
      <family val="1"/>
    </font>
    <font>
      <sz val="11"/>
      <name val="Calibri"/>
      <family val="2"/>
      <scheme val="minor"/>
    </font>
    <font>
      <b/>
      <sz val="11"/>
      <name val="Calibri"/>
      <family val="2"/>
      <scheme val="minor"/>
    </font>
    <font>
      <sz val="7.5"/>
      <color theme="1"/>
      <name val="Segoe UI"/>
      <family val="2"/>
    </font>
    <font>
      <i/>
      <sz val="8"/>
      <name val="Segoe UI"/>
      <family val="2"/>
    </font>
    <font>
      <b/>
      <sz val="12"/>
      <color theme="1"/>
      <name val="Segoe UI"/>
      <family val="2"/>
    </font>
    <font>
      <sz val="7.5"/>
      <color theme="0" tint="-0.24994659260841701"/>
      <name val="Segoe UI"/>
      <family val="2"/>
    </font>
    <font>
      <b/>
      <sz val="11"/>
      <name val="Segoe UI"/>
      <family val="2"/>
    </font>
    <font>
      <b/>
      <sz val="7.5"/>
      <color theme="0" tint="-0.14996795556505021"/>
      <name val="Segoe UI"/>
      <family val="2"/>
    </font>
    <font>
      <b/>
      <sz val="9"/>
      <color rgb="FF0000FF"/>
      <name val="Segoe UI"/>
      <family val="2"/>
    </font>
    <font>
      <sz val="10"/>
      <color theme="0" tint="-0.24994659260841701"/>
      <name val="Arial"/>
      <family val="2"/>
    </font>
    <font>
      <sz val="10"/>
      <color theme="0" tint="-0.24994659260841701"/>
      <name val="Segoe UI"/>
      <family val="2"/>
    </font>
    <font>
      <sz val="11"/>
      <color theme="1"/>
      <name val="Segoe UI"/>
      <family val="2"/>
    </font>
    <font>
      <sz val="10"/>
      <color theme="1"/>
      <name val="Segoe UI"/>
      <family val="2"/>
    </font>
    <font>
      <u/>
      <sz val="10"/>
      <color theme="10"/>
      <name val="Times New Roman"/>
      <family val="1"/>
    </font>
    <font>
      <b/>
      <sz val="10"/>
      <color theme="1"/>
      <name val="Segoe UI"/>
      <family val="2"/>
    </font>
    <font>
      <sz val="7.5"/>
      <color theme="0" tint="-0.14996795556505021"/>
      <name val="Segoe UI"/>
      <family val="2"/>
    </font>
    <font>
      <sz val="8"/>
      <name val="Tahoma"/>
      <family val="2"/>
    </font>
    <font>
      <u/>
      <sz val="10"/>
      <color theme="10"/>
      <name val="Segoe UI"/>
      <family val="2"/>
    </font>
    <font>
      <sz val="10"/>
      <name val="Arial"/>
      <family val="2"/>
    </font>
  </fonts>
  <fills count="13">
    <fill>
      <patternFill patternType="none"/>
    </fill>
    <fill>
      <patternFill patternType="gray125"/>
    </fill>
    <fill>
      <patternFill patternType="solid">
        <fgColor indexed="13"/>
        <bgColor indexed="64"/>
      </patternFill>
    </fill>
    <fill>
      <patternFill patternType="solid">
        <fgColor theme="0"/>
        <bgColor indexed="64"/>
      </patternFill>
    </fill>
    <fill>
      <patternFill patternType="solid">
        <fgColor theme="0" tint="-0.14996795556505021"/>
        <bgColor indexed="64"/>
      </patternFill>
    </fill>
    <fill>
      <patternFill patternType="solid">
        <fgColor indexed="22"/>
        <bgColor indexed="64"/>
      </patternFill>
    </fill>
    <fill>
      <patternFill patternType="solid">
        <fgColor theme="0" tint="-0.24994659260841701"/>
        <bgColor indexed="64"/>
      </patternFill>
    </fill>
    <fill>
      <patternFill patternType="solid">
        <fgColor theme="5" tint="0.79995117038483843"/>
        <bgColor indexed="64"/>
      </patternFill>
    </fill>
    <fill>
      <patternFill patternType="solid">
        <fgColor theme="3" tint="0.59996337778862885"/>
        <bgColor indexed="64"/>
      </patternFill>
    </fill>
    <fill>
      <patternFill patternType="solid">
        <fgColor theme="4" tint="0.79995117038483843"/>
        <bgColor indexed="64"/>
      </patternFill>
    </fill>
    <fill>
      <patternFill patternType="solid">
        <fgColor theme="4" tint="0.59996337778862885"/>
        <bgColor indexed="64"/>
      </patternFill>
    </fill>
    <fill>
      <patternFill patternType="solid">
        <fgColor rgb="FFFFFF00"/>
        <bgColor indexed="64"/>
      </patternFill>
    </fill>
    <fill>
      <patternFill patternType="solid">
        <fgColor theme="0" tint="-0.14993743705557422"/>
        <bgColor indexed="64"/>
      </patternFill>
    </fill>
  </fills>
  <borders count="81">
    <border>
      <left/>
      <right/>
      <top/>
      <bottom/>
      <diagonal/>
    </border>
    <border>
      <left/>
      <right/>
      <top/>
      <bottom style="hair">
        <color auto="1"/>
      </bottom>
      <diagonal/>
    </border>
    <border>
      <left style="thin">
        <color auto="1"/>
      </left>
      <right/>
      <top/>
      <bottom/>
      <diagonal/>
    </border>
    <border>
      <left style="hair">
        <color auto="1"/>
      </left>
      <right style="thin">
        <color auto="1"/>
      </right>
      <top/>
      <bottom/>
      <diagonal/>
    </border>
    <border>
      <left/>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right/>
      <top/>
      <bottom style="thin">
        <color auto="1"/>
      </bottom>
      <diagonal/>
    </border>
    <border>
      <left style="thin">
        <color auto="1"/>
      </left>
      <right/>
      <top/>
      <bottom style="thin">
        <color auto="1"/>
      </bottom>
      <diagonal/>
    </border>
    <border>
      <left style="thin">
        <color auto="1"/>
      </left>
      <right style="thin">
        <color auto="1"/>
      </right>
      <top/>
      <bottom style="thin">
        <color auto="1"/>
      </bottom>
      <diagonal/>
    </border>
    <border>
      <left/>
      <right style="thin">
        <color auto="1"/>
      </right>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style="hair">
        <color auto="1"/>
      </left>
      <right style="thin">
        <color auto="1"/>
      </right>
      <top style="thin">
        <color auto="1"/>
      </top>
      <bottom/>
      <diagonal/>
    </border>
    <border>
      <left/>
      <right style="thin">
        <color auto="1"/>
      </right>
      <top/>
      <bottom/>
      <diagonal/>
    </border>
    <border>
      <left style="thin">
        <color auto="1"/>
      </left>
      <right style="thin">
        <color auto="1"/>
      </right>
      <top/>
      <bottom style="hair">
        <color auto="1"/>
      </bottom>
      <diagonal/>
    </border>
    <border>
      <left style="thin">
        <color auto="1"/>
      </left>
      <right style="thin">
        <color auto="1"/>
      </right>
      <top style="hair">
        <color auto="1"/>
      </top>
      <bottom/>
      <diagonal/>
    </border>
    <border>
      <left style="thin">
        <color auto="1"/>
      </left>
      <right style="hair">
        <color auto="1"/>
      </right>
      <top/>
      <bottom/>
      <diagonal/>
    </border>
    <border>
      <left style="thin">
        <color auto="1"/>
      </left>
      <right style="hair">
        <color auto="1"/>
      </right>
      <top/>
      <bottom style="hair">
        <color auto="1"/>
      </bottom>
      <diagonal/>
    </border>
    <border>
      <left style="hair">
        <color auto="1"/>
      </left>
      <right style="thin">
        <color auto="1"/>
      </right>
      <top/>
      <bottom style="hair">
        <color auto="1"/>
      </bottom>
      <diagonal/>
    </border>
    <border>
      <left style="thin">
        <color auto="1"/>
      </left>
      <right style="hair">
        <color auto="1"/>
      </right>
      <top/>
      <bottom style="thin">
        <color auto="1"/>
      </bottom>
      <diagonal/>
    </border>
    <border>
      <left style="hair">
        <color auto="1"/>
      </left>
      <right style="thin">
        <color auto="1"/>
      </right>
      <top/>
      <bottom style="thin">
        <color auto="1"/>
      </bottom>
      <diagonal/>
    </border>
    <border>
      <left style="thin">
        <color auto="1"/>
      </left>
      <right style="thin">
        <color auto="1"/>
      </right>
      <top style="thin">
        <color auto="1"/>
      </top>
      <bottom style="hair">
        <color auto="1"/>
      </bottom>
      <diagonal/>
    </border>
    <border>
      <left style="thin">
        <color auto="1"/>
      </left>
      <right/>
      <top style="thin">
        <color auto="1"/>
      </top>
      <bottom style="hair">
        <color auto="1"/>
      </bottom>
      <diagonal/>
    </border>
    <border>
      <left/>
      <right/>
      <top style="medium">
        <color auto="1"/>
      </top>
      <bottom/>
      <diagonal/>
    </border>
    <border>
      <left/>
      <right style="medium">
        <color auto="1"/>
      </right>
      <top style="medium">
        <color auto="1"/>
      </top>
      <bottom/>
      <diagonal/>
    </border>
    <border>
      <left/>
      <right style="medium">
        <color auto="1"/>
      </right>
      <top/>
      <bottom/>
      <diagonal/>
    </border>
    <border>
      <left/>
      <right/>
      <top/>
      <bottom style="medium">
        <color auto="1"/>
      </bottom>
      <diagonal/>
    </border>
    <border>
      <left/>
      <right style="medium">
        <color auto="1"/>
      </right>
      <top/>
      <bottom style="medium">
        <color auto="1"/>
      </bottom>
      <diagonal/>
    </border>
    <border>
      <left style="thin">
        <color auto="1"/>
      </left>
      <right/>
      <top/>
      <bottom style="hair">
        <color auto="1"/>
      </bottom>
      <diagonal/>
    </border>
    <border>
      <left style="thin">
        <color auto="1"/>
      </left>
      <right style="thin">
        <color auto="1"/>
      </right>
      <top style="thin">
        <color auto="1"/>
      </top>
      <bottom style="thin">
        <color auto="1"/>
      </bottom>
      <diagonal/>
    </border>
    <border>
      <left style="thin">
        <color auto="1"/>
      </left>
      <right style="thin">
        <color auto="1"/>
      </right>
      <top style="hair">
        <color auto="1"/>
      </top>
      <bottom style="hair">
        <color auto="1"/>
      </bottom>
      <diagonal/>
    </border>
    <border>
      <left style="thin">
        <color auto="1"/>
      </left>
      <right style="thin">
        <color auto="1"/>
      </right>
      <top style="hair">
        <color auto="1"/>
      </top>
      <bottom style="thin">
        <color auto="1"/>
      </bottom>
      <diagonal/>
    </border>
    <border>
      <left/>
      <right style="thin">
        <color auto="1"/>
      </right>
      <top style="thin">
        <color auto="1"/>
      </top>
      <bottom/>
      <diagonal/>
    </border>
    <border>
      <left style="thin">
        <color auto="1"/>
      </left>
      <right/>
      <top style="hair">
        <color auto="1"/>
      </top>
      <bottom style="hair">
        <color auto="1"/>
      </bottom>
      <diagonal/>
    </border>
    <border>
      <left style="hair">
        <color auto="1"/>
      </left>
      <right style="thin">
        <color auto="1"/>
      </right>
      <top style="hair">
        <color auto="1"/>
      </top>
      <bottom style="hair">
        <color auto="1"/>
      </bottom>
      <diagonal/>
    </border>
    <border>
      <left style="hair">
        <color auto="1"/>
      </left>
      <right style="thin">
        <color auto="1"/>
      </right>
      <top style="thin">
        <color auto="1"/>
      </top>
      <bottom style="thin">
        <color auto="1"/>
      </bottom>
      <diagonal/>
    </border>
    <border>
      <left style="hair">
        <color auto="1"/>
      </left>
      <right style="thin">
        <color auto="1"/>
      </right>
      <top style="thin">
        <color auto="1"/>
      </top>
      <bottom style="hair">
        <color auto="1"/>
      </bottom>
      <diagonal/>
    </border>
    <border>
      <left style="thin">
        <color auto="1"/>
      </left>
      <right/>
      <top style="hair">
        <color auto="1"/>
      </top>
      <bottom style="thin">
        <color auto="1"/>
      </bottom>
      <diagonal/>
    </border>
    <border>
      <left style="hair">
        <color auto="1"/>
      </left>
      <right style="thin">
        <color auto="1"/>
      </right>
      <top style="hair">
        <color auto="1"/>
      </top>
      <bottom style="thin">
        <color auto="1"/>
      </bottom>
      <diagonal/>
    </border>
    <border>
      <left/>
      <right style="thin">
        <color auto="1"/>
      </right>
      <top style="thin">
        <color auto="1"/>
      </top>
      <bottom style="hair">
        <color auto="1"/>
      </bottom>
      <diagonal/>
    </border>
    <border>
      <left/>
      <right style="thin">
        <color auto="1"/>
      </right>
      <top/>
      <bottom style="hair">
        <color auto="1"/>
      </bottom>
      <diagonal/>
    </border>
    <border>
      <left style="thin">
        <color auto="1"/>
      </left>
      <right style="hair">
        <color auto="1"/>
      </right>
      <top style="thin">
        <color auto="1"/>
      </top>
      <bottom style="hair">
        <color auto="1"/>
      </bottom>
      <diagonal/>
    </border>
    <border>
      <left style="hair">
        <color auto="1"/>
      </left>
      <right style="hair">
        <color auto="1"/>
      </right>
      <top style="thin">
        <color auto="1"/>
      </top>
      <bottom style="hair">
        <color auto="1"/>
      </bottom>
      <diagonal/>
    </border>
    <border>
      <left style="thin">
        <color auto="1"/>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style="thin">
        <color auto="1"/>
      </left>
      <right style="hair">
        <color auto="1"/>
      </right>
      <top style="hair">
        <color auto="1"/>
      </top>
      <bottom/>
      <diagonal/>
    </border>
    <border>
      <left style="hair">
        <color auto="1"/>
      </left>
      <right style="hair">
        <color auto="1"/>
      </right>
      <top style="hair">
        <color auto="1"/>
      </top>
      <bottom/>
      <diagonal/>
    </border>
    <border>
      <left style="hair">
        <color auto="1"/>
      </left>
      <right style="thin">
        <color auto="1"/>
      </right>
      <top style="hair">
        <color auto="1"/>
      </top>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medium">
        <color auto="1"/>
      </left>
      <right/>
      <top style="medium">
        <color auto="1"/>
      </top>
      <bottom/>
      <diagonal/>
    </border>
    <border>
      <left style="medium">
        <color auto="1"/>
      </left>
      <right/>
      <top/>
      <bottom/>
      <diagonal/>
    </border>
    <border>
      <left style="medium">
        <color auto="1"/>
      </left>
      <right/>
      <top/>
      <bottom style="medium">
        <color auto="1"/>
      </bottom>
      <diagonal/>
    </border>
    <border>
      <left style="hair">
        <color auto="1"/>
      </left>
      <right style="hair">
        <color auto="1"/>
      </right>
      <top style="hair">
        <color auto="1"/>
      </top>
      <bottom style="thin">
        <color auto="1"/>
      </bottom>
      <diagonal/>
    </border>
    <border>
      <left/>
      <right/>
      <top style="hair">
        <color auto="1"/>
      </top>
      <bottom/>
      <diagonal/>
    </border>
    <border>
      <left style="thin">
        <color auto="1"/>
      </left>
      <right/>
      <top style="hair">
        <color auto="1"/>
      </top>
      <bottom/>
      <diagonal/>
    </border>
    <border>
      <left/>
      <right/>
      <top style="thin">
        <color auto="1"/>
      </top>
      <bottom style="hair">
        <color auto="1"/>
      </bottom>
      <diagonal/>
    </border>
    <border>
      <left/>
      <right style="thin">
        <color auto="1"/>
      </right>
      <top style="hair">
        <color auto="1"/>
      </top>
      <bottom/>
      <diagonal/>
    </border>
    <border>
      <left/>
      <right/>
      <top style="hair">
        <color auto="1"/>
      </top>
      <bottom style="hair">
        <color auto="1"/>
      </bottom>
      <diagonal/>
    </border>
    <border>
      <left/>
      <right/>
      <top style="hair">
        <color auto="1"/>
      </top>
      <bottom style="thin">
        <color auto="1"/>
      </bottom>
      <diagonal/>
    </border>
    <border>
      <left style="thin">
        <color auto="1"/>
      </left>
      <right style="dotted">
        <color auto="1"/>
      </right>
      <top style="thin">
        <color auto="1"/>
      </top>
      <bottom/>
      <diagonal/>
    </border>
    <border>
      <left style="dotted">
        <color auto="1"/>
      </left>
      <right style="thin">
        <color auto="1"/>
      </right>
      <top style="thin">
        <color auto="1"/>
      </top>
      <bottom/>
      <diagonal/>
    </border>
    <border>
      <left style="thin">
        <color auto="1"/>
      </left>
      <right style="dotted">
        <color auto="1"/>
      </right>
      <top/>
      <bottom/>
      <diagonal/>
    </border>
    <border>
      <left style="dotted">
        <color auto="1"/>
      </left>
      <right style="thin">
        <color auto="1"/>
      </right>
      <top/>
      <bottom/>
      <diagonal/>
    </border>
    <border>
      <left style="thin">
        <color auto="1"/>
      </left>
      <right style="dotted">
        <color auto="1"/>
      </right>
      <top/>
      <bottom style="thin">
        <color auto="1"/>
      </bottom>
      <diagonal/>
    </border>
    <border>
      <left style="dotted">
        <color auto="1"/>
      </left>
      <right style="thin">
        <color auto="1"/>
      </right>
      <top/>
      <bottom style="thin">
        <color auto="1"/>
      </bottom>
      <diagonal/>
    </border>
    <border>
      <left style="hair">
        <color auto="1"/>
      </left>
      <right style="hair">
        <color auto="1"/>
      </right>
      <top style="thin">
        <color auto="1"/>
      </top>
      <bottom/>
      <diagonal/>
    </border>
    <border>
      <left style="hair">
        <color auto="1"/>
      </left>
      <right style="hair">
        <color auto="1"/>
      </right>
      <top/>
      <bottom style="hair">
        <color auto="1"/>
      </bottom>
      <diagonal/>
    </border>
    <border>
      <left/>
      <right style="thin">
        <color auto="1"/>
      </right>
      <top style="hair">
        <color auto="1"/>
      </top>
      <bottom style="hair">
        <color auto="1"/>
      </bottom>
      <diagonal/>
    </border>
    <border>
      <left style="hair">
        <color auto="1"/>
      </left>
      <right/>
      <top style="hair">
        <color auto="1"/>
      </top>
      <bottom style="hair">
        <color auto="1"/>
      </bottom>
      <diagonal/>
    </border>
    <border>
      <left style="hair">
        <color auto="1"/>
      </left>
      <right/>
      <top style="hair">
        <color auto="1"/>
      </top>
      <bottom style="thin">
        <color auto="1"/>
      </bottom>
      <diagonal/>
    </border>
    <border>
      <left/>
      <right style="hair">
        <color auto="1"/>
      </right>
      <top style="hair">
        <color auto="1"/>
      </top>
      <bottom style="thin">
        <color auto="1"/>
      </bottom>
      <diagonal/>
    </border>
    <border>
      <left style="hair">
        <color auto="1"/>
      </left>
      <right/>
      <top style="thin">
        <color auto="1"/>
      </top>
      <bottom/>
      <diagonal/>
    </border>
    <border>
      <left/>
      <right style="hair">
        <color auto="1"/>
      </right>
      <top style="thin">
        <color auto="1"/>
      </top>
      <bottom/>
      <diagonal/>
    </border>
    <border>
      <left style="hair">
        <color auto="1"/>
      </left>
      <right/>
      <top/>
      <bottom style="hair">
        <color auto="1"/>
      </bottom>
      <diagonal/>
    </border>
    <border>
      <left/>
      <right style="hair">
        <color auto="1"/>
      </right>
      <top/>
      <bottom style="hair">
        <color auto="1"/>
      </bottom>
      <diagonal/>
    </border>
    <border>
      <left style="hair">
        <color auto="1"/>
      </left>
      <right style="hair">
        <color auto="1"/>
      </right>
      <top/>
      <bottom style="thin">
        <color auto="1"/>
      </bottom>
      <diagonal/>
    </border>
    <border>
      <left style="thin">
        <color auto="1"/>
      </left>
      <right style="hair">
        <color auto="1"/>
      </right>
      <top style="thin">
        <color auto="1"/>
      </top>
      <bottom/>
      <diagonal/>
    </border>
  </borders>
  <cellStyleXfs count="14">
    <xf numFmtId="0" fontId="0" fillId="0" borderId="0"/>
    <xf numFmtId="9" fontId="85" fillId="0" borderId="0" applyFont="0" applyFill="0" applyBorder="0" applyAlignment="0" applyProtection="0"/>
    <xf numFmtId="166" fontId="85" fillId="0" borderId="0" applyFont="0" applyFill="0" applyBorder="0" applyAlignment="0" applyProtection="0"/>
    <xf numFmtId="165" fontId="85" fillId="0" borderId="0" applyFont="0" applyFill="0" applyBorder="0" applyAlignment="0" applyProtection="0"/>
    <xf numFmtId="43" fontId="85" fillId="0" borderId="0" applyFont="0" applyFill="0" applyBorder="0" applyAlignment="0" applyProtection="0"/>
    <xf numFmtId="164" fontId="85" fillId="0" borderId="0" applyFont="0" applyFill="0" applyBorder="0" applyAlignment="0" applyProtection="0"/>
    <xf numFmtId="43" fontId="1" fillId="0" borderId="0" applyFont="0" applyFill="0" applyBorder="0" applyAlignment="0" applyProtection="0"/>
    <xf numFmtId="0" fontId="85"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80" fillId="0" borderId="0" applyNumberFormat="0" applyFill="0" applyBorder="0" applyAlignment="0" applyProtection="0"/>
  </cellStyleXfs>
  <cellXfs count="837">
    <xf numFmtId="0" fontId="0" fillId="0" borderId="0" xfId="0"/>
    <xf numFmtId="0" fontId="6" fillId="0" borderId="0" xfId="0" applyFont="1"/>
    <xf numFmtId="0" fontId="3" fillId="0" borderId="0" xfId="0" applyFont="1" applyBorder="1" applyProtection="1">
      <protection locked="0"/>
    </xf>
    <xf numFmtId="0" fontId="3" fillId="0" borderId="1" xfId="0" applyFont="1" applyBorder="1" applyProtection="1">
      <protection locked="0"/>
    </xf>
    <xf numFmtId="0" fontId="3" fillId="0" borderId="0" xfId="0" applyFont="1" applyProtection="1">
      <protection locked="0"/>
    </xf>
    <xf numFmtId="0" fontId="12" fillId="0" borderId="2" xfId="0" quotePrefix="1" applyFont="1" applyBorder="1" applyAlignment="1" applyProtection="1">
      <alignment horizontal="center"/>
      <protection locked="0"/>
    </xf>
    <xf numFmtId="0" fontId="12" fillId="0" borderId="3" xfId="0" quotePrefix="1" applyFont="1" applyBorder="1" applyAlignment="1" applyProtection="1">
      <alignment horizontal="center"/>
      <protection locked="0"/>
    </xf>
    <xf numFmtId="0" fontId="14" fillId="0" borderId="0" xfId="0" applyFont="1" applyAlignment="1" applyProtection="1"/>
    <xf numFmtId="0" fontId="14" fillId="0" borderId="0" xfId="0" applyNumberFormat="1" applyFont="1" applyAlignment="1" applyProtection="1"/>
    <xf numFmtId="0" fontId="12" fillId="0" borderId="0" xfId="0" applyNumberFormat="1" applyFont="1" applyProtection="1"/>
    <xf numFmtId="0" fontId="12" fillId="0" borderId="0" xfId="0" applyFont="1" applyProtection="1">
      <protection locked="0"/>
    </xf>
    <xf numFmtId="0" fontId="12" fillId="0" borderId="0" xfId="0" applyFont="1" applyBorder="1" applyAlignment="1" applyProtection="1"/>
    <xf numFmtId="0" fontId="12" fillId="0" borderId="0" xfId="0" applyNumberFormat="1" applyFont="1" applyBorder="1" applyAlignment="1" applyProtection="1"/>
    <xf numFmtId="0" fontId="12" fillId="0" borderId="4" xfId="0" applyFont="1" applyBorder="1" applyAlignment="1" applyProtection="1">
      <alignment horizontal="left"/>
    </xf>
    <xf numFmtId="0" fontId="12" fillId="0" borderId="4" xfId="0" applyFont="1" applyBorder="1" applyProtection="1"/>
    <xf numFmtId="0" fontId="14" fillId="0" borderId="5" xfId="0" applyNumberFormat="1" applyFont="1" applyBorder="1" applyAlignment="1" applyProtection="1"/>
    <xf numFmtId="0" fontId="14" fillId="0" borderId="6" xfId="0" applyNumberFormat="1" applyFont="1" applyBorder="1" applyAlignment="1" applyProtection="1"/>
    <xf numFmtId="0" fontId="14" fillId="0" borderId="6" xfId="0" applyNumberFormat="1" applyFont="1" applyBorder="1" applyAlignment="1" applyProtection="1">
      <alignment horizontal="left"/>
    </xf>
    <xf numFmtId="0" fontId="14" fillId="0" borderId="7" xfId="0" applyNumberFormat="1" applyFont="1" applyBorder="1" applyAlignment="1" applyProtection="1"/>
    <xf numFmtId="0" fontId="12" fillId="0" borderId="0" xfId="0" applyFont="1" applyBorder="1" applyProtection="1"/>
    <xf numFmtId="0" fontId="12" fillId="0" borderId="0" xfId="0" applyNumberFormat="1" applyFont="1" applyBorder="1" applyAlignment="1" applyProtection="1">
      <alignment horizontal="center" wrapText="1"/>
    </xf>
    <xf numFmtId="0" fontId="12" fillId="0" borderId="2" xfId="0" applyNumberFormat="1" applyFont="1" applyBorder="1" applyAlignment="1" applyProtection="1">
      <alignment horizontal="center" wrapText="1"/>
    </xf>
    <xf numFmtId="0" fontId="12" fillId="0" borderId="8" xfId="0" applyNumberFormat="1" applyFont="1" applyBorder="1" applyAlignment="1" applyProtection="1">
      <alignment horizontal="center" wrapText="1"/>
    </xf>
    <xf numFmtId="0" fontId="12" fillId="0" borderId="2" xfId="0" applyFont="1" applyBorder="1" applyAlignment="1" applyProtection="1">
      <alignment horizontal="center" wrapText="1"/>
      <protection locked="0"/>
    </xf>
    <xf numFmtId="0" fontId="12" fillId="0" borderId="3" xfId="0" applyFont="1" applyBorder="1" applyAlignment="1" applyProtection="1">
      <alignment horizontal="center" wrapText="1"/>
      <protection locked="0"/>
    </xf>
    <xf numFmtId="0" fontId="12" fillId="0" borderId="9" xfId="0" applyFont="1" applyBorder="1" applyAlignment="1" applyProtection="1">
      <alignment horizontal="left"/>
    </xf>
    <xf numFmtId="0" fontId="12" fillId="0" borderId="9" xfId="0" applyFont="1" applyBorder="1" applyProtection="1"/>
    <xf numFmtId="0" fontId="12" fillId="0" borderId="10" xfId="0" quotePrefix="1" applyNumberFormat="1" applyFont="1" applyBorder="1" applyAlignment="1" applyProtection="1">
      <alignment horizontal="center"/>
    </xf>
    <xf numFmtId="0" fontId="12" fillId="0" borderId="11" xfId="0" quotePrefix="1" applyNumberFormat="1" applyFont="1" applyBorder="1" applyAlignment="1" applyProtection="1">
      <alignment horizontal="center"/>
    </xf>
    <xf numFmtId="0" fontId="12" fillId="0" borderId="9" xfId="0" quotePrefix="1" applyNumberFormat="1" applyFont="1" applyBorder="1" applyAlignment="1" applyProtection="1">
      <alignment horizontal="center"/>
    </xf>
    <xf numFmtId="0" fontId="12" fillId="0" borderId="12" xfId="0" quotePrefix="1" applyNumberFormat="1" applyFont="1" applyBorder="1" applyAlignment="1" applyProtection="1">
      <alignment horizontal="center"/>
    </xf>
    <xf numFmtId="0" fontId="14" fillId="0" borderId="0" xfId="0" applyFont="1" applyProtection="1">
      <protection locked="0"/>
    </xf>
    <xf numFmtId="167" fontId="13" fillId="0" borderId="8" xfId="0" applyNumberFormat="1" applyFont="1" applyBorder="1" applyProtection="1">
      <protection locked="0"/>
    </xf>
    <xf numFmtId="167" fontId="13" fillId="0" borderId="13" xfId="0" applyNumberFormat="1" applyFont="1" applyBorder="1" applyProtection="1">
      <protection locked="0"/>
    </xf>
    <xf numFmtId="167" fontId="13" fillId="0" borderId="14" xfId="0" applyNumberFormat="1" applyFont="1" applyBorder="1" applyProtection="1">
      <protection locked="0"/>
    </xf>
    <xf numFmtId="167" fontId="13" fillId="0" borderId="15" xfId="0" applyNumberFormat="1" applyFont="1" applyBorder="1" applyProtection="1">
      <protection locked="0"/>
    </xf>
    <xf numFmtId="0" fontId="12" fillId="0" borderId="0" xfId="0" applyFont="1" applyBorder="1" applyProtection="1">
      <protection locked="0"/>
    </xf>
    <xf numFmtId="0" fontId="12" fillId="0" borderId="16" xfId="0" applyFont="1" applyBorder="1" applyProtection="1">
      <protection locked="0"/>
    </xf>
    <xf numFmtId="0" fontId="12" fillId="0" borderId="1" xfId="0" applyFont="1" applyBorder="1" applyProtection="1">
      <protection locked="0"/>
    </xf>
    <xf numFmtId="0" fontId="12" fillId="0" borderId="9" xfId="0" applyFont="1" applyBorder="1" applyProtection="1">
      <protection locked="0"/>
    </xf>
    <xf numFmtId="0" fontId="13" fillId="0" borderId="0" xfId="0" applyFont="1" applyProtection="1">
      <protection locked="0"/>
    </xf>
    <xf numFmtId="0" fontId="5" fillId="0" borderId="0" xfId="0" applyFont="1" applyAlignment="1" applyProtection="1"/>
    <xf numFmtId="0" fontId="16" fillId="0" borderId="0" xfId="0" applyFont="1" applyBorder="1" applyAlignment="1" applyProtection="1"/>
    <xf numFmtId="0" fontId="5" fillId="0" borderId="0" xfId="0" applyNumberFormat="1" applyFont="1" applyAlignment="1" applyProtection="1">
      <alignment horizontal="right"/>
    </xf>
    <xf numFmtId="0" fontId="17" fillId="0" borderId="9" xfId="0" applyFont="1" applyBorder="1" applyProtection="1">
      <protection locked="0"/>
    </xf>
    <xf numFmtId="167" fontId="12" fillId="0" borderId="8" xfId="0" applyNumberFormat="1" applyFont="1" applyBorder="1" applyProtection="1">
      <protection locked="0"/>
    </xf>
    <xf numFmtId="167" fontId="12" fillId="0" borderId="2" xfId="0" applyNumberFormat="1" applyFont="1" applyBorder="1" applyProtection="1">
      <protection locked="0"/>
    </xf>
    <xf numFmtId="167" fontId="12" fillId="0" borderId="3" xfId="0" applyNumberFormat="1" applyFont="1" applyBorder="1" applyProtection="1">
      <protection locked="0"/>
    </xf>
    <xf numFmtId="167" fontId="12" fillId="0" borderId="17" xfId="0" applyNumberFormat="1" applyFont="1" applyBorder="1" applyProtection="1">
      <protection locked="0"/>
    </xf>
    <xf numFmtId="167" fontId="12" fillId="0" borderId="18" xfId="0" applyNumberFormat="1" applyFont="1" applyBorder="1" applyProtection="1">
      <protection locked="0"/>
    </xf>
    <xf numFmtId="167" fontId="12" fillId="0" borderId="11" xfId="0" applyNumberFormat="1" applyFont="1" applyBorder="1" applyProtection="1">
      <protection locked="0"/>
    </xf>
    <xf numFmtId="167" fontId="12" fillId="0" borderId="19" xfId="0" applyNumberFormat="1" applyFont="1" applyBorder="1" applyProtection="1">
      <protection locked="0"/>
    </xf>
    <xf numFmtId="167" fontId="12" fillId="2" borderId="19" xfId="0" applyNumberFormat="1" applyFont="1" applyFill="1" applyBorder="1" applyProtection="1">
      <protection locked="0"/>
    </xf>
    <xf numFmtId="167" fontId="12" fillId="2" borderId="3" xfId="0" applyNumberFormat="1" applyFont="1" applyFill="1" applyBorder="1" applyProtection="1">
      <protection locked="0"/>
    </xf>
    <xf numFmtId="167" fontId="12" fillId="2" borderId="20" xfId="0" applyNumberFormat="1" applyFont="1" applyFill="1" applyBorder="1" applyProtection="1">
      <protection locked="0"/>
    </xf>
    <xf numFmtId="167" fontId="12" fillId="2" borderId="21" xfId="0" applyNumberFormat="1" applyFont="1" applyFill="1" applyBorder="1" applyProtection="1">
      <protection locked="0"/>
    </xf>
    <xf numFmtId="167" fontId="12" fillId="0" borderId="20" xfId="0" applyNumberFormat="1" applyFont="1" applyBorder="1" applyProtection="1">
      <protection locked="0"/>
    </xf>
    <xf numFmtId="167" fontId="12" fillId="0" borderId="21" xfId="0" applyNumberFormat="1" applyFont="1" applyBorder="1" applyProtection="1">
      <protection locked="0"/>
    </xf>
    <xf numFmtId="167" fontId="12" fillId="0" borderId="22" xfId="0" applyNumberFormat="1" applyFont="1" applyBorder="1" applyProtection="1">
      <protection locked="0"/>
    </xf>
    <xf numFmtId="167" fontId="12" fillId="0" borderId="23" xfId="0" applyNumberFormat="1" applyFont="1" applyBorder="1" applyProtection="1">
      <protection locked="0"/>
    </xf>
    <xf numFmtId="0" fontId="19" fillId="0" borderId="9" xfId="0" applyFont="1" applyBorder="1" applyProtection="1">
      <protection locked="0"/>
    </xf>
    <xf numFmtId="0" fontId="12" fillId="0" borderId="0" xfId="0" applyFont="1" applyProtection="1">
      <protection locked="0"/>
    </xf>
    <xf numFmtId="0" fontId="14" fillId="0" borderId="9" xfId="0" applyNumberFormat="1" applyFont="1" applyBorder="1" applyAlignment="1"/>
    <xf numFmtId="0" fontId="12" fillId="0" borderId="0" xfId="0" applyFont="1" applyFill="1" applyProtection="1">
      <protection locked="0"/>
    </xf>
    <xf numFmtId="0" fontId="5" fillId="0" borderId="0" xfId="0" applyFont="1" applyAlignment="1" applyProtection="1">
      <alignment horizontal="left"/>
    </xf>
    <xf numFmtId="0" fontId="58" fillId="0" borderId="0" xfId="0" applyFont="1"/>
    <xf numFmtId="0" fontId="0" fillId="0" borderId="0" xfId="0" applyAlignment="1">
      <alignment horizontal="center"/>
    </xf>
    <xf numFmtId="0" fontId="0" fillId="0" borderId="0" xfId="0" applyAlignment="1">
      <alignment horizontal="left" indent="2"/>
    </xf>
    <xf numFmtId="167" fontId="0" fillId="0" borderId="0" xfId="0" applyNumberFormat="1"/>
    <xf numFmtId="0" fontId="26" fillId="0" borderId="0" xfId="0" applyFont="1" applyAlignment="1" applyProtection="1">
      <alignment horizontal="left"/>
    </xf>
    <xf numFmtId="0" fontId="26" fillId="0" borderId="0" xfId="0" applyFont="1" applyAlignment="1" applyProtection="1"/>
    <xf numFmtId="0" fontId="27" fillId="0" borderId="0" xfId="0" applyFont="1" applyAlignment="1" applyProtection="1"/>
    <xf numFmtId="0" fontId="29" fillId="0" borderId="0" xfId="0" applyFont="1" applyAlignment="1" applyProtection="1"/>
    <xf numFmtId="0" fontId="28" fillId="0" borderId="0" xfId="0" applyFont="1" applyAlignment="1" applyProtection="1"/>
    <xf numFmtId="0" fontId="29" fillId="0" borderId="4" xfId="0" applyFont="1" applyBorder="1" applyProtection="1"/>
    <xf numFmtId="0" fontId="28" fillId="0" borderId="4" xfId="0" applyFont="1" applyBorder="1" applyProtection="1"/>
    <xf numFmtId="0" fontId="28" fillId="0" borderId="0" xfId="0" applyFont="1" applyBorder="1" applyProtection="1"/>
    <xf numFmtId="0" fontId="28" fillId="0" borderId="9" xfId="0" applyFont="1" applyBorder="1" applyProtection="1"/>
    <xf numFmtId="167" fontId="31" fillId="0" borderId="24" xfId="0" applyNumberFormat="1" applyFont="1" applyBorder="1" applyProtection="1">
      <protection locked="0"/>
    </xf>
    <xf numFmtId="167" fontId="31" fillId="0" borderId="8" xfId="0" applyNumberFormat="1" applyFont="1" applyBorder="1" applyProtection="1">
      <protection locked="0"/>
    </xf>
    <xf numFmtId="167" fontId="28" fillId="0" borderId="8" xfId="0" applyNumberFormat="1" applyFont="1" applyBorder="1" applyProtection="1">
      <protection locked="0"/>
    </xf>
    <xf numFmtId="167" fontId="28" fillId="0" borderId="17" xfId="0" applyNumberFormat="1" applyFont="1" applyBorder="1" applyProtection="1">
      <protection locked="0"/>
    </xf>
    <xf numFmtId="167" fontId="28" fillId="0" borderId="11" xfId="0" applyNumberFormat="1" applyFont="1" applyBorder="1" applyProtection="1">
      <protection locked="0"/>
    </xf>
    <xf numFmtId="167" fontId="28" fillId="0" borderId="0" xfId="0" applyNumberFormat="1" applyFont="1" applyBorder="1" applyProtection="1">
      <protection locked="0"/>
    </xf>
    <xf numFmtId="167" fontId="28" fillId="0" borderId="16" xfId="0" applyNumberFormat="1" applyFont="1" applyBorder="1" applyProtection="1">
      <protection locked="0"/>
    </xf>
    <xf numFmtId="167" fontId="28" fillId="0" borderId="9" xfId="0" applyNumberFormat="1" applyFont="1" applyBorder="1" applyProtection="1">
      <protection locked="0"/>
    </xf>
    <xf numFmtId="167" fontId="28" fillId="0" borderId="12" xfId="0" applyNumberFormat="1" applyFont="1" applyBorder="1" applyProtection="1">
      <protection locked="0"/>
    </xf>
    <xf numFmtId="167" fontId="31" fillId="0" borderId="25" xfId="0" applyNumberFormat="1" applyFont="1" applyBorder="1" applyAlignment="1" applyProtection="1">
      <alignment horizontal="right"/>
      <protection locked="0"/>
    </xf>
    <xf numFmtId="167" fontId="31" fillId="0" borderId="17" xfId="0" applyNumberFormat="1" applyFont="1" applyBorder="1" applyProtection="1">
      <protection locked="0"/>
    </xf>
    <xf numFmtId="167" fontId="28" fillId="0" borderId="8" xfId="0" applyNumberFormat="1" applyFont="1" applyBorder="1" applyAlignment="1" applyProtection="1">
      <alignment horizontal="right"/>
      <protection locked="0"/>
    </xf>
    <xf numFmtId="167" fontId="31" fillId="0" borderId="8" xfId="0" applyNumberFormat="1" applyFont="1" applyBorder="1" applyAlignment="1" applyProtection="1">
      <alignment horizontal="right"/>
      <protection locked="0"/>
    </xf>
    <xf numFmtId="167" fontId="28" fillId="0" borderId="16" xfId="0" applyNumberFormat="1" applyFont="1" applyBorder="1" applyAlignment="1" applyProtection="1">
      <alignment horizontal="right"/>
      <protection locked="0"/>
    </xf>
    <xf numFmtId="167" fontId="28" fillId="0" borderId="8" xfId="0" applyNumberFormat="1" applyFont="1" applyFill="1" applyBorder="1" applyAlignment="1" applyProtection="1">
      <alignment horizontal="right"/>
      <protection locked="0"/>
    </xf>
    <xf numFmtId="167" fontId="28" fillId="0" borderId="0" xfId="0" applyNumberFormat="1" applyFont="1" applyBorder="1" applyAlignment="1" applyProtection="1">
      <alignment horizontal="right"/>
      <protection locked="0"/>
    </xf>
    <xf numFmtId="0" fontId="28" fillId="0" borderId="9" xfId="0" applyFont="1" applyFill="1" applyBorder="1" applyProtection="1"/>
    <xf numFmtId="0" fontId="29" fillId="0" borderId="0" xfId="0" applyFont="1"/>
    <xf numFmtId="0" fontId="29" fillId="0" borderId="26" xfId="0" applyFont="1" applyBorder="1"/>
    <xf numFmtId="0" fontId="29" fillId="0" borderId="27" xfId="0" applyFont="1" applyBorder="1"/>
    <xf numFmtId="0" fontId="29" fillId="0" borderId="0" xfId="0" applyFont="1" applyBorder="1"/>
    <xf numFmtId="0" fontId="29" fillId="0" borderId="28" xfId="0" applyFont="1" applyBorder="1"/>
    <xf numFmtId="0" fontId="29" fillId="0" borderId="29" xfId="0" applyFont="1" applyBorder="1"/>
    <xf numFmtId="0" fontId="29" fillId="0" borderId="30" xfId="0" applyFont="1" applyBorder="1"/>
    <xf numFmtId="0" fontId="42" fillId="0" borderId="0" xfId="0" applyFont="1"/>
    <xf numFmtId="0" fontId="28" fillId="0" borderId="0" xfId="0" applyFont="1" applyProtection="1"/>
    <xf numFmtId="0" fontId="26" fillId="0" borderId="0" xfId="0" applyNumberFormat="1" applyFont="1" applyAlignment="1" applyProtection="1"/>
    <xf numFmtId="0" fontId="29" fillId="0" borderId="14" xfId="0" applyFont="1" applyBorder="1" applyAlignment="1" applyProtection="1">
      <alignment horizontal="left"/>
    </xf>
    <xf numFmtId="0" fontId="28" fillId="0" borderId="10" xfId="0" applyFont="1" applyBorder="1" applyAlignment="1" applyProtection="1">
      <alignment horizontal="left"/>
    </xf>
    <xf numFmtId="0" fontId="44" fillId="0" borderId="2" xfId="0" applyFont="1" applyBorder="1" applyAlignment="1" applyProtection="1">
      <alignment horizontal="left"/>
    </xf>
    <xf numFmtId="0" fontId="44" fillId="0" borderId="0" xfId="0" applyFont="1" applyBorder="1" applyAlignment="1" applyProtection="1">
      <alignment horizontal="left"/>
    </xf>
    <xf numFmtId="0" fontId="32" fillId="0" borderId="2" xfId="0" applyFont="1" applyBorder="1" applyAlignment="1" applyProtection="1">
      <alignment horizontal="left"/>
    </xf>
    <xf numFmtId="0" fontId="32" fillId="0" borderId="0" xfId="0" applyFont="1" applyBorder="1" applyAlignment="1" applyProtection="1">
      <alignment horizontal="left" indent="1"/>
    </xf>
    <xf numFmtId="0" fontId="32" fillId="0" borderId="31" xfId="0" applyFont="1" applyBorder="1" applyAlignment="1" applyProtection="1">
      <alignment horizontal="left"/>
    </xf>
    <xf numFmtId="0" fontId="32" fillId="0" borderId="10" xfId="0" applyFont="1" applyBorder="1" applyAlignment="1" applyProtection="1">
      <alignment horizontal="left"/>
    </xf>
    <xf numFmtId="0" fontId="32" fillId="0" borderId="9" xfId="0" applyFont="1" applyBorder="1" applyAlignment="1" applyProtection="1">
      <alignment horizontal="left" indent="1"/>
    </xf>
    <xf numFmtId="0" fontId="32" fillId="0" borderId="2" xfId="0" applyFont="1" applyFill="1" applyBorder="1" applyAlignment="1" applyProtection="1">
      <alignment horizontal="left"/>
    </xf>
    <xf numFmtId="0" fontId="32" fillId="0" borderId="10" xfId="0" applyFont="1" applyFill="1" applyBorder="1" applyAlignment="1" applyProtection="1">
      <alignment horizontal="left"/>
    </xf>
    <xf numFmtId="0" fontId="44" fillId="0" borderId="1" xfId="0" applyFont="1" applyBorder="1" applyProtection="1"/>
    <xf numFmtId="0" fontId="44" fillId="0" borderId="2" xfId="0" applyFont="1" applyFill="1" applyBorder="1" applyAlignment="1" applyProtection="1">
      <alignment horizontal="left"/>
    </xf>
    <xf numFmtId="0" fontId="44" fillId="0" borderId="31" xfId="0" applyFont="1" applyBorder="1" applyProtection="1"/>
    <xf numFmtId="0" fontId="32" fillId="0" borderId="0" xfId="0" applyFont="1" applyBorder="1" applyAlignment="1" applyProtection="1">
      <alignment horizontal="left"/>
    </xf>
    <xf numFmtId="0" fontId="45" fillId="0" borderId="1" xfId="0" applyFont="1" applyBorder="1" applyAlignment="1" applyProtection="1">
      <alignment horizontal="left"/>
    </xf>
    <xf numFmtId="0" fontId="45" fillId="0" borderId="9" xfId="0" applyFont="1" applyBorder="1" applyAlignment="1" applyProtection="1">
      <alignment horizontal="left"/>
    </xf>
    <xf numFmtId="0" fontId="44" fillId="0" borderId="32" xfId="0" applyNumberFormat="1" applyFont="1" applyBorder="1" applyAlignment="1" applyProtection="1">
      <alignment horizontal="center"/>
    </xf>
    <xf numFmtId="0" fontId="32" fillId="0" borderId="11" xfId="0" quotePrefix="1" applyNumberFormat="1" applyFont="1" applyBorder="1" applyAlignment="1" applyProtection="1">
      <alignment horizontal="center"/>
    </xf>
    <xf numFmtId="0" fontId="32" fillId="0" borderId="2" xfId="0" applyNumberFormat="1" applyFont="1" applyBorder="1" applyAlignment="1" applyProtection="1">
      <alignment horizontal="center"/>
    </xf>
    <xf numFmtId="0" fontId="32" fillId="0" borderId="8" xfId="0" applyNumberFormat="1" applyFont="1" applyBorder="1" applyAlignment="1" applyProtection="1">
      <alignment horizontal="center"/>
    </xf>
    <xf numFmtId="0" fontId="32" fillId="0" borderId="0" xfId="0" applyNumberFormat="1" applyFont="1" applyBorder="1" applyAlignment="1" applyProtection="1">
      <alignment horizontal="center"/>
    </xf>
    <xf numFmtId="0" fontId="32" fillId="0" borderId="16" xfId="0" applyNumberFormat="1" applyFont="1" applyBorder="1" applyAlignment="1" applyProtection="1">
      <alignment horizontal="center"/>
    </xf>
    <xf numFmtId="0" fontId="32" fillId="0" borderId="13" xfId="0" applyFont="1" applyBorder="1" applyAlignment="1" applyProtection="1">
      <alignment horizontal="left" wrapText="1"/>
    </xf>
    <xf numFmtId="0" fontId="32" fillId="0" borderId="33" xfId="0" applyFont="1" applyBorder="1" applyAlignment="1" applyProtection="1">
      <alignment horizontal="left" wrapText="1"/>
    </xf>
    <xf numFmtId="0" fontId="32" fillId="0" borderId="8" xfId="0" applyFont="1" applyBorder="1" applyAlignment="1" applyProtection="1">
      <alignment horizontal="left" wrapText="1"/>
    </xf>
    <xf numFmtId="0" fontId="32" fillId="0" borderId="34" xfId="0" applyFont="1" applyBorder="1" applyAlignment="1" applyProtection="1">
      <alignment horizontal="left" wrapText="1"/>
    </xf>
    <xf numFmtId="0" fontId="44" fillId="0" borderId="32" xfId="0" applyFont="1" applyBorder="1" applyAlignment="1" applyProtection="1">
      <alignment horizontal="left" wrapText="1"/>
    </xf>
    <xf numFmtId="0" fontId="47" fillId="0" borderId="0" xfId="0" applyFont="1" applyFill="1" applyBorder="1" applyAlignment="1" applyProtection="1">
      <alignment horizontal="left"/>
    </xf>
    <xf numFmtId="0" fontId="44" fillId="0" borderId="14" xfId="0" applyFont="1" applyFill="1" applyBorder="1" applyAlignment="1" applyProtection="1">
      <alignment horizontal="left"/>
    </xf>
    <xf numFmtId="0" fontId="47" fillId="0" borderId="4" xfId="0" applyFont="1" applyFill="1" applyBorder="1" applyAlignment="1" applyProtection="1">
      <alignment horizontal="left"/>
    </xf>
    <xf numFmtId="0" fontId="28" fillId="0" borderId="0" xfId="0" applyFont="1" applyFill="1" applyBorder="1" applyProtection="1"/>
    <xf numFmtId="0" fontId="28" fillId="0" borderId="9" xfId="0" applyFont="1" applyBorder="1" applyAlignment="1" applyProtection="1">
      <alignment horizontal="left" indent="1"/>
    </xf>
    <xf numFmtId="0" fontId="28" fillId="0" borderId="0" xfId="0" applyFont="1" applyFill="1" applyBorder="1" applyAlignment="1" applyProtection="1">
      <alignment horizontal="left"/>
    </xf>
    <xf numFmtId="49" fontId="28" fillId="0" borderId="2" xfId="0" applyNumberFormat="1" applyFont="1" applyFill="1" applyBorder="1" applyAlignment="1" applyProtection="1">
      <alignment horizontal="left"/>
    </xf>
    <xf numFmtId="0" fontId="28" fillId="0" borderId="1" xfId="0" applyFont="1" applyBorder="1" applyProtection="1"/>
    <xf numFmtId="0" fontId="28" fillId="0" borderId="9" xfId="0" applyFont="1" applyFill="1" applyBorder="1" applyAlignment="1" applyProtection="1">
      <alignment horizontal="left"/>
    </xf>
    <xf numFmtId="49" fontId="28" fillId="0" borderId="10" xfId="0" applyNumberFormat="1" applyFont="1" applyBorder="1" applyAlignment="1" applyProtection="1">
      <alignment horizontal="left"/>
    </xf>
    <xf numFmtId="49" fontId="28" fillId="0" borderId="2" xfId="0" applyNumberFormat="1" applyFont="1" applyBorder="1" applyAlignment="1" applyProtection="1">
      <alignment horizontal="left"/>
    </xf>
    <xf numFmtId="167" fontId="31" fillId="0" borderId="17" xfId="0" applyNumberFormat="1" applyFont="1" applyBorder="1" applyAlignment="1" applyProtection="1">
      <alignment horizontal="right"/>
      <protection locked="0"/>
    </xf>
    <xf numFmtId="167" fontId="31" fillId="0" borderId="24" xfId="0" applyNumberFormat="1" applyFont="1" applyBorder="1" applyAlignment="1" applyProtection="1">
      <alignment horizontal="right"/>
      <protection locked="0"/>
    </xf>
    <xf numFmtId="167" fontId="28" fillId="0" borderId="11" xfId="0" applyNumberFormat="1" applyFont="1" applyBorder="1" applyAlignment="1" applyProtection="1">
      <alignment horizontal="right"/>
      <protection locked="0"/>
    </xf>
    <xf numFmtId="167" fontId="28" fillId="0" borderId="9" xfId="0" applyNumberFormat="1" applyFont="1" applyBorder="1" applyAlignment="1" applyProtection="1">
      <alignment horizontal="right"/>
      <protection locked="0"/>
    </xf>
    <xf numFmtId="167" fontId="28" fillId="0" borderId="17" xfId="0" applyNumberFormat="1" applyFont="1" applyBorder="1" applyAlignment="1" applyProtection="1">
      <alignment horizontal="right"/>
      <protection locked="0"/>
    </xf>
    <xf numFmtId="167" fontId="28" fillId="0" borderId="1" xfId="0" applyNumberFormat="1" applyFont="1" applyBorder="1" applyAlignment="1" applyProtection="1">
      <alignment horizontal="right"/>
      <protection locked="0"/>
    </xf>
    <xf numFmtId="167" fontId="33" fillId="0" borderId="32" xfId="0" applyNumberFormat="1" applyFont="1" applyBorder="1" applyAlignment="1" applyProtection="1">
      <alignment horizontal="right"/>
      <protection locked="0"/>
    </xf>
    <xf numFmtId="167" fontId="28" fillId="0" borderId="24" xfId="0" applyNumberFormat="1" applyFont="1" applyFill="1" applyBorder="1" applyAlignment="1" applyProtection="1">
      <alignment horizontal="right"/>
      <protection locked="0"/>
    </xf>
    <xf numFmtId="167" fontId="28" fillId="0" borderId="17" xfId="0" applyNumberFormat="1" applyFont="1" applyFill="1" applyBorder="1" applyAlignment="1" applyProtection="1">
      <alignment horizontal="right"/>
      <protection locked="0"/>
    </xf>
    <xf numFmtId="167" fontId="28" fillId="0" borderId="11" xfId="0" applyNumberFormat="1" applyFont="1" applyFill="1" applyBorder="1" applyAlignment="1" applyProtection="1">
      <alignment horizontal="right"/>
      <protection locked="0"/>
    </xf>
    <xf numFmtId="167" fontId="28" fillId="0" borderId="24" xfId="0" applyNumberFormat="1" applyFont="1" applyBorder="1" applyAlignment="1" applyProtection="1">
      <alignment horizontal="right"/>
      <protection locked="0"/>
    </xf>
    <xf numFmtId="167" fontId="48" fillId="0" borderId="8" xfId="0" applyNumberFormat="1" applyFont="1" applyFill="1" applyBorder="1" applyAlignment="1" applyProtection="1">
      <alignment horizontal="right"/>
      <protection locked="0"/>
    </xf>
    <xf numFmtId="167" fontId="28" fillId="0" borderId="18" xfId="0" applyNumberFormat="1" applyFont="1" applyFill="1" applyBorder="1" applyAlignment="1" applyProtection="1">
      <alignment horizontal="right"/>
      <protection locked="0"/>
    </xf>
    <xf numFmtId="167" fontId="28" fillId="0" borderId="9" xfId="0" applyNumberFormat="1" applyFont="1" applyFill="1" applyBorder="1" applyAlignment="1" applyProtection="1">
      <alignment horizontal="right"/>
      <protection locked="0"/>
    </xf>
    <xf numFmtId="167" fontId="31" fillId="0" borderId="33" xfId="0" applyNumberFormat="1" applyFont="1" applyBorder="1" applyAlignment="1" applyProtection="1">
      <alignment horizontal="right"/>
      <protection locked="0"/>
    </xf>
    <xf numFmtId="0" fontId="66" fillId="0" borderId="0" xfId="0" applyFont="1"/>
    <xf numFmtId="0" fontId="30" fillId="0" borderId="9" xfId="0" applyNumberFormat="1" applyFont="1" applyBorder="1" applyAlignment="1" applyProtection="1">
      <alignment horizontal="right"/>
    </xf>
    <xf numFmtId="0" fontId="26" fillId="0" borderId="0" xfId="0" applyNumberFormat="1" applyFont="1" applyAlignment="1" applyProtection="1">
      <alignment horizontal="right"/>
    </xf>
    <xf numFmtId="0" fontId="44" fillId="0" borderId="14" xfId="0" applyFont="1" applyBorder="1" applyAlignment="1" applyProtection="1">
      <alignment vertical="center" wrapText="1"/>
    </xf>
    <xf numFmtId="3" fontId="26" fillId="0" borderId="0" xfId="0" applyNumberFormat="1" applyFont="1" applyAlignment="1" applyProtection="1">
      <alignment horizontal="right"/>
    </xf>
    <xf numFmtId="0" fontId="0" fillId="0" borderId="0" xfId="0" applyProtection="1"/>
    <xf numFmtId="0" fontId="29" fillId="0" borderId="0" xfId="0" applyFont="1" applyProtection="1"/>
    <xf numFmtId="0" fontId="60" fillId="3" borderId="35" xfId="0" applyFont="1" applyFill="1" applyBorder="1" applyAlignment="1" applyProtection="1">
      <alignment horizontal="centerContinuous"/>
    </xf>
    <xf numFmtId="0" fontId="60" fillId="3" borderId="12" xfId="0" applyFont="1" applyFill="1" applyBorder="1" applyAlignment="1" applyProtection="1">
      <alignment horizontal="centerContinuous"/>
    </xf>
    <xf numFmtId="0" fontId="31" fillId="0" borderId="0" xfId="0" applyFont="1" applyProtection="1"/>
    <xf numFmtId="0" fontId="28" fillId="0" borderId="2" xfId="0" applyFont="1" applyBorder="1" applyAlignment="1" applyProtection="1">
      <alignment horizontal="center" wrapText="1"/>
    </xf>
    <xf numFmtId="0" fontId="28" fillId="0" borderId="3" xfId="0" applyFont="1" applyBorder="1" applyAlignment="1" applyProtection="1">
      <alignment horizontal="center" wrapText="1"/>
    </xf>
    <xf numFmtId="0" fontId="28" fillId="0" borderId="10" xfId="0" quotePrefix="1" applyFont="1" applyBorder="1" applyAlignment="1" applyProtection="1">
      <alignment horizontal="center"/>
    </xf>
    <xf numFmtId="0" fontId="28" fillId="0" borderId="23" xfId="0" quotePrefix="1" applyFont="1" applyBorder="1" applyAlignment="1" applyProtection="1">
      <alignment horizontal="center"/>
    </xf>
    <xf numFmtId="0" fontId="32" fillId="0" borderId="0" xfId="0" applyFont="1" applyBorder="1" applyProtection="1"/>
    <xf numFmtId="167" fontId="28" fillId="0" borderId="8" xfId="0" applyNumberFormat="1" applyFont="1" applyBorder="1" applyAlignment="1" applyProtection="1">
      <alignment horizontal="right"/>
    </xf>
    <xf numFmtId="167" fontId="28" fillId="0" borderId="0" xfId="0" applyNumberFormat="1" applyFont="1" applyBorder="1" applyAlignment="1" applyProtection="1">
      <alignment horizontal="right"/>
    </xf>
    <xf numFmtId="167" fontId="28" fillId="0" borderId="16" xfId="0" applyNumberFormat="1" applyFont="1" applyBorder="1" applyAlignment="1" applyProtection="1">
      <alignment horizontal="right"/>
    </xf>
    <xf numFmtId="0" fontId="29" fillId="0" borderId="0" xfId="0" applyFont="1" applyAlignment="1" applyProtection="1">
      <alignment horizontal="right"/>
    </xf>
    <xf numFmtId="167" fontId="33" fillId="0" borderId="2" xfId="0" applyNumberFormat="1" applyFont="1" applyBorder="1" applyAlignment="1" applyProtection="1">
      <alignment horizontal="right"/>
    </xf>
    <xf numFmtId="167" fontId="33" fillId="0" borderId="3" xfId="0" applyNumberFormat="1" applyFont="1" applyBorder="1" applyAlignment="1" applyProtection="1">
      <alignment horizontal="right"/>
    </xf>
    <xf numFmtId="0" fontId="32" fillId="0" borderId="1" xfId="0" applyFont="1" applyBorder="1" applyProtection="1"/>
    <xf numFmtId="167" fontId="33" fillId="0" borderId="31" xfId="0" applyNumberFormat="1" applyFont="1" applyBorder="1" applyAlignment="1" applyProtection="1">
      <alignment horizontal="right"/>
    </xf>
    <xf numFmtId="167" fontId="33" fillId="0" borderId="21" xfId="0" applyNumberFormat="1" applyFont="1" applyBorder="1" applyAlignment="1" applyProtection="1">
      <alignment horizontal="right"/>
    </xf>
    <xf numFmtId="167" fontId="33" fillId="0" borderId="36" xfId="0" applyNumberFormat="1" applyFont="1" applyBorder="1" applyAlignment="1" applyProtection="1">
      <alignment horizontal="right"/>
    </xf>
    <xf numFmtId="167" fontId="33" fillId="0" borderId="37" xfId="0" applyNumberFormat="1" applyFont="1" applyBorder="1" applyAlignment="1" applyProtection="1">
      <alignment horizontal="right"/>
    </xf>
    <xf numFmtId="167" fontId="33" fillId="0" borderId="32" xfId="0" applyNumberFormat="1" applyFont="1" applyBorder="1" applyAlignment="1" applyProtection="1">
      <alignment horizontal="right"/>
    </xf>
    <xf numFmtId="167" fontId="33" fillId="0" borderId="5" xfId="0" applyNumberFormat="1" applyFont="1" applyBorder="1" applyAlignment="1" applyProtection="1">
      <alignment horizontal="right"/>
    </xf>
    <xf numFmtId="167" fontId="33" fillId="0" borderId="38" xfId="0" applyNumberFormat="1" applyFont="1" applyBorder="1" applyAlignment="1" applyProtection="1">
      <alignment horizontal="right"/>
    </xf>
    <xf numFmtId="167" fontId="33" fillId="0" borderId="10" xfId="0" applyNumberFormat="1" applyFont="1" applyBorder="1" applyAlignment="1" applyProtection="1">
      <alignment horizontal="right"/>
    </xf>
    <xf numFmtId="167" fontId="33" fillId="0" borderId="23" xfId="0" applyNumberFormat="1" applyFont="1" applyBorder="1" applyAlignment="1" applyProtection="1">
      <alignment horizontal="right"/>
    </xf>
    <xf numFmtId="49" fontId="28" fillId="0" borderId="0" xfId="0" applyNumberFormat="1" applyFont="1" applyProtection="1"/>
    <xf numFmtId="0" fontId="28" fillId="0" borderId="0" xfId="0" applyFont="1" applyAlignment="1" applyProtection="1">
      <alignment horizontal="right"/>
    </xf>
    <xf numFmtId="0" fontId="31" fillId="0" borderId="0" xfId="0" applyFont="1" applyAlignment="1" applyProtection="1">
      <alignment horizontal="right"/>
    </xf>
    <xf numFmtId="0" fontId="29" fillId="0" borderId="0" xfId="0" applyFont="1" applyAlignment="1" applyProtection="1">
      <alignment vertical="center"/>
    </xf>
    <xf numFmtId="49" fontId="54" fillId="0" borderId="6" xfId="0" applyNumberFormat="1" applyFont="1" applyBorder="1" applyAlignment="1" applyProtection="1">
      <alignment vertical="center"/>
    </xf>
    <xf numFmtId="0" fontId="28" fillId="0" borderId="6" xfId="0" applyFont="1" applyBorder="1" applyAlignment="1" applyProtection="1">
      <alignment vertical="center"/>
    </xf>
    <xf numFmtId="0" fontId="61" fillId="0" borderId="6" xfId="0" applyFont="1" applyBorder="1" applyAlignment="1" applyProtection="1">
      <alignment horizontal="right" vertical="center"/>
    </xf>
    <xf numFmtId="0" fontId="61" fillId="0" borderId="7" xfId="0" applyFont="1" applyBorder="1" applyAlignment="1" applyProtection="1">
      <alignment horizontal="right" vertical="center"/>
    </xf>
    <xf numFmtId="0" fontId="28" fillId="0" borderId="0" xfId="0" applyFont="1" applyAlignment="1" applyProtection="1">
      <alignment horizontal="right" vertical="center"/>
    </xf>
    <xf numFmtId="0" fontId="31" fillId="0" borderId="0" xfId="0" applyFont="1" applyAlignment="1" applyProtection="1">
      <alignment horizontal="right" vertical="center"/>
    </xf>
    <xf numFmtId="49" fontId="27" fillId="0" borderId="0" xfId="0" applyNumberFormat="1" applyFont="1" applyProtection="1"/>
    <xf numFmtId="0" fontId="61" fillId="0" borderId="13" xfId="0" applyFont="1" applyBorder="1" applyAlignment="1" applyProtection="1">
      <alignment horizontal="right"/>
    </xf>
    <xf numFmtId="0" fontId="0" fillId="0" borderId="0" xfId="0" applyAlignment="1" applyProtection="1">
      <alignment horizontal="right"/>
    </xf>
    <xf numFmtId="167" fontId="61" fillId="0" borderId="8" xfId="0" applyNumberFormat="1" applyFont="1" applyFill="1" applyBorder="1" applyAlignment="1" applyProtection="1">
      <alignment horizontal="right"/>
    </xf>
    <xf numFmtId="49" fontId="28" fillId="0" borderId="1" xfId="0" applyNumberFormat="1" applyFont="1" applyBorder="1" applyProtection="1"/>
    <xf numFmtId="0" fontId="0" fillId="0" borderId="1" xfId="0" applyBorder="1" applyProtection="1"/>
    <xf numFmtId="167" fontId="61" fillId="0" borderId="17" xfId="0" applyNumberFormat="1" applyFont="1" applyFill="1" applyBorder="1" applyAlignment="1" applyProtection="1">
      <alignment horizontal="right"/>
    </xf>
    <xf numFmtId="0" fontId="28" fillId="0" borderId="0" xfId="0" applyFont="1" applyFill="1" applyProtection="1"/>
    <xf numFmtId="0" fontId="28" fillId="0" borderId="1" xfId="0" applyFont="1" applyFill="1" applyBorder="1" applyProtection="1"/>
    <xf numFmtId="49" fontId="61" fillId="0" borderId="0" xfId="0" applyNumberFormat="1" applyFont="1" applyFill="1" applyProtection="1"/>
    <xf numFmtId="49" fontId="28" fillId="0" borderId="0" xfId="0" applyNumberFormat="1" applyFont="1" applyFill="1" applyProtection="1"/>
    <xf numFmtId="49" fontId="28" fillId="0" borderId="1" xfId="0" applyNumberFormat="1" applyFont="1" applyFill="1" applyBorder="1" applyProtection="1"/>
    <xf numFmtId="0" fontId="61" fillId="0" borderId="8" xfId="0" applyFont="1" applyBorder="1" applyAlignment="1" applyProtection="1">
      <alignment horizontal="right"/>
    </xf>
    <xf numFmtId="0" fontId="48" fillId="0" borderId="0" xfId="0" applyFont="1" applyProtection="1"/>
    <xf numFmtId="0" fontId="28" fillId="0" borderId="0" xfId="0" applyFont="1" applyAlignment="1" applyProtection="1">
      <alignment horizontal="left" indent="1"/>
    </xf>
    <xf numFmtId="167" fontId="61" fillId="4" borderId="8" xfId="0" applyNumberFormat="1" applyFont="1" applyFill="1" applyBorder="1" applyAlignment="1" applyProtection="1">
      <alignment horizontal="right"/>
    </xf>
    <xf numFmtId="0" fontId="61" fillId="0" borderId="8" xfId="0" applyFont="1" applyFill="1" applyBorder="1" applyAlignment="1" applyProtection="1">
      <alignment horizontal="right"/>
    </xf>
    <xf numFmtId="49" fontId="28" fillId="0" borderId="9" xfId="0" applyNumberFormat="1" applyFont="1" applyBorder="1" applyProtection="1"/>
    <xf numFmtId="0" fontId="0" fillId="0" borderId="9" xfId="0" applyBorder="1" applyProtection="1"/>
    <xf numFmtId="0" fontId="61" fillId="0" borderId="11" xfId="0" applyFont="1" applyBorder="1" applyAlignment="1" applyProtection="1">
      <alignment horizontal="right"/>
    </xf>
    <xf numFmtId="0" fontId="61" fillId="0" borderId="0" xfId="0" applyFont="1" applyProtection="1"/>
    <xf numFmtId="49" fontId="0" fillId="0" borderId="0" xfId="0" applyNumberFormat="1" applyProtection="1"/>
    <xf numFmtId="0" fontId="59" fillId="3" borderId="35" xfId="0" applyFont="1" applyFill="1" applyBorder="1" applyAlignment="1" applyProtection="1">
      <alignment horizontal="centerContinuous"/>
    </xf>
    <xf numFmtId="0" fontId="59" fillId="3" borderId="12" xfId="0" applyFont="1" applyFill="1" applyBorder="1" applyAlignment="1" applyProtection="1">
      <alignment horizontal="centerContinuous"/>
    </xf>
    <xf numFmtId="0" fontId="50" fillId="0" borderId="0" xfId="0" applyFont="1" applyAlignment="1" applyProtection="1">
      <alignment horizontal="right"/>
    </xf>
    <xf numFmtId="0" fontId="51" fillId="0" borderId="0" xfId="0" applyFont="1" applyProtection="1"/>
    <xf numFmtId="0" fontId="33" fillId="0" borderId="6" xfId="0" applyFont="1" applyBorder="1" applyProtection="1"/>
    <xf numFmtId="0" fontId="33" fillId="0" borderId="6" xfId="0" applyFont="1" applyBorder="1" applyAlignment="1" applyProtection="1">
      <alignment horizontal="right"/>
    </xf>
    <xf numFmtId="0" fontId="33" fillId="0" borderId="7" xfId="0" applyFont="1" applyBorder="1" applyAlignment="1" applyProtection="1">
      <alignment horizontal="right"/>
    </xf>
    <xf numFmtId="0" fontId="33" fillId="0" borderId="0" xfId="0" applyFont="1" applyAlignment="1" applyProtection="1">
      <alignment horizontal="right"/>
    </xf>
    <xf numFmtId="0" fontId="33" fillId="0" borderId="0" xfId="0" applyFont="1" applyProtection="1"/>
    <xf numFmtId="0" fontId="28" fillId="0" borderId="13" xfId="0" applyFont="1" applyBorder="1" applyAlignment="1" applyProtection="1">
      <alignment horizontal="right"/>
    </xf>
    <xf numFmtId="167" fontId="61" fillId="0" borderId="8" xfId="0" applyNumberFormat="1" applyFont="1" applyBorder="1" applyAlignment="1" applyProtection="1">
      <alignment horizontal="right"/>
    </xf>
    <xf numFmtId="49" fontId="28" fillId="0" borderId="0" xfId="0" applyNumberFormat="1" applyFont="1" applyBorder="1" applyProtection="1"/>
    <xf numFmtId="0" fontId="28" fillId="0" borderId="0" xfId="0" applyFont="1" applyFill="1" applyAlignment="1" applyProtection="1">
      <alignment horizontal="right"/>
    </xf>
    <xf numFmtId="0" fontId="61" fillId="0" borderId="0" xfId="0" applyFont="1" applyFill="1" applyProtection="1"/>
    <xf numFmtId="0" fontId="28" fillId="0" borderId="11" xfId="0" applyFont="1" applyBorder="1" applyAlignment="1" applyProtection="1">
      <alignment horizontal="right"/>
    </xf>
    <xf numFmtId="167" fontId="33" fillId="0" borderId="25" xfId="0" applyNumberFormat="1" applyFont="1" applyBorder="1" applyAlignment="1" applyProtection="1">
      <alignment horizontal="right"/>
    </xf>
    <xf numFmtId="167" fontId="33" fillId="0" borderId="39" xfId="0" applyNumberFormat="1" applyFont="1" applyBorder="1" applyAlignment="1" applyProtection="1">
      <alignment horizontal="right"/>
    </xf>
    <xf numFmtId="0" fontId="28" fillId="0" borderId="6" xfId="0" applyFont="1" applyBorder="1" applyAlignment="1" applyProtection="1">
      <alignment horizontal="right" vertical="center"/>
    </xf>
    <xf numFmtId="0" fontId="28" fillId="0" borderId="7" xfId="0" applyFont="1" applyBorder="1" applyAlignment="1" applyProtection="1">
      <alignment horizontal="right" vertical="center"/>
    </xf>
    <xf numFmtId="0" fontId="28" fillId="0" borderId="0" xfId="0" applyFont="1" applyAlignment="1" applyProtection="1">
      <alignment vertical="center"/>
    </xf>
    <xf numFmtId="167" fontId="33" fillId="0" borderId="8" xfId="0" applyNumberFormat="1" applyFont="1" applyBorder="1" applyAlignment="1" applyProtection="1">
      <alignment horizontal="right"/>
    </xf>
    <xf numFmtId="167" fontId="33" fillId="0" borderId="8" xfId="0" applyNumberFormat="1" applyFont="1" applyFill="1" applyBorder="1" applyAlignment="1" applyProtection="1">
      <alignment horizontal="right"/>
    </xf>
    <xf numFmtId="167" fontId="33" fillId="0" borderId="17" xfId="0" applyNumberFormat="1" applyFont="1" applyFill="1" applyBorder="1" applyAlignment="1" applyProtection="1">
      <alignment horizontal="right"/>
    </xf>
    <xf numFmtId="167" fontId="33" fillId="0" borderId="11" xfId="0" applyNumberFormat="1" applyFont="1" applyFill="1" applyBorder="1" applyAlignment="1" applyProtection="1">
      <alignment horizontal="right"/>
    </xf>
    <xf numFmtId="167" fontId="33" fillId="0" borderId="40" xfId="0" applyNumberFormat="1" applyFont="1" applyBorder="1" applyAlignment="1" applyProtection="1">
      <alignment horizontal="right"/>
    </xf>
    <xf numFmtId="167" fontId="33" fillId="0" borderId="41" xfId="0" applyNumberFormat="1" applyFont="1" applyBorder="1" applyAlignment="1" applyProtection="1">
      <alignment horizontal="right"/>
    </xf>
    <xf numFmtId="0" fontId="7" fillId="0" borderId="0" xfId="0" applyFont="1" applyAlignment="1" applyProtection="1">
      <alignment horizontal="right"/>
    </xf>
    <xf numFmtId="167" fontId="28" fillId="0" borderId="6" xfId="0" applyNumberFormat="1" applyFont="1" applyBorder="1" applyAlignment="1" applyProtection="1">
      <alignment horizontal="right" vertical="center"/>
    </xf>
    <xf numFmtId="167" fontId="33" fillId="0" borderId="13" xfId="0" applyNumberFormat="1" applyFont="1" applyBorder="1" applyAlignment="1" applyProtection="1">
      <alignment horizontal="right"/>
    </xf>
    <xf numFmtId="0" fontId="28" fillId="0" borderId="16" xfId="0" applyFont="1" applyBorder="1" applyProtection="1"/>
    <xf numFmtId="167" fontId="28" fillId="0" borderId="0" xfId="0" applyNumberFormat="1" applyFont="1" applyProtection="1"/>
    <xf numFmtId="0" fontId="3" fillId="0" borderId="0" xfId="0" applyFont="1" applyBorder="1" applyProtection="1"/>
    <xf numFmtId="167" fontId="33" fillId="0" borderId="42" xfId="0" applyNumberFormat="1" applyFont="1" applyBorder="1" applyAlignment="1" applyProtection="1">
      <alignment horizontal="right"/>
    </xf>
    <xf numFmtId="167" fontId="33" fillId="0" borderId="16" xfId="0" applyNumberFormat="1" applyFont="1" applyBorder="1" applyAlignment="1" applyProtection="1">
      <alignment horizontal="right"/>
    </xf>
    <xf numFmtId="49" fontId="3" fillId="0" borderId="0" xfId="0" applyNumberFormat="1" applyFont="1" applyProtection="1"/>
    <xf numFmtId="0" fontId="3" fillId="0" borderId="0" xfId="0" applyFont="1" applyProtection="1"/>
    <xf numFmtId="0" fontId="0" fillId="0" borderId="0" xfId="0" applyFont="1" applyAlignment="1" applyProtection="1">
      <alignment horizontal="right"/>
    </xf>
    <xf numFmtId="0" fontId="29" fillId="0" borderId="0" xfId="0" applyFont="1" applyAlignment="1" applyProtection="1">
      <alignment horizontal="right" vertical="center"/>
    </xf>
    <xf numFmtId="0" fontId="61" fillId="0" borderId="0" xfId="0" applyFont="1" applyAlignment="1" applyProtection="1">
      <alignment horizontal="right"/>
    </xf>
    <xf numFmtId="0" fontId="28" fillId="0" borderId="0" xfId="0" applyFont="1" applyFill="1" applyAlignment="1" applyProtection="1">
      <alignment horizontal="left" indent="1"/>
    </xf>
    <xf numFmtId="0" fontId="28" fillId="0" borderId="12" xfId="0" applyFont="1" applyBorder="1" applyProtection="1"/>
    <xf numFmtId="0" fontId="28" fillId="0" borderId="43" xfId="0" applyFont="1" applyBorder="1" applyProtection="1"/>
    <xf numFmtId="0" fontId="61" fillId="0" borderId="6" xfId="0" applyFont="1" applyBorder="1" applyAlignment="1" applyProtection="1">
      <alignment vertical="center"/>
    </xf>
    <xf numFmtId="0" fontId="62" fillId="0" borderId="0" xfId="0" applyFont="1" applyAlignment="1" applyProtection="1">
      <alignment horizontal="right" vertical="center"/>
    </xf>
    <xf numFmtId="0" fontId="62" fillId="0" borderId="0" xfId="0" applyFont="1" applyAlignment="1" applyProtection="1">
      <alignment vertical="center"/>
    </xf>
    <xf numFmtId="0" fontId="3" fillId="0" borderId="0" xfId="0" applyFont="1" applyAlignment="1" applyProtection="1">
      <alignment horizontal="right"/>
    </xf>
    <xf numFmtId="167" fontId="33" fillId="0" borderId="25" xfId="0" quotePrefix="1" applyNumberFormat="1" applyFont="1" applyBorder="1" applyAlignment="1" applyProtection="1">
      <alignment horizontal="right"/>
    </xf>
    <xf numFmtId="167" fontId="33" fillId="0" borderId="39" xfId="0" quotePrefix="1" applyNumberFormat="1" applyFont="1" applyBorder="1" applyAlignment="1" applyProtection="1">
      <alignment horizontal="right"/>
    </xf>
    <xf numFmtId="0" fontId="0" fillId="0" borderId="0" xfId="0" applyFont="1" applyProtection="1"/>
    <xf numFmtId="0" fontId="0" fillId="0" borderId="0" xfId="0" applyFill="1" applyProtection="1"/>
    <xf numFmtId="49" fontId="54" fillId="0" borderId="6" xfId="0" applyNumberFormat="1" applyFont="1" applyFill="1" applyBorder="1" applyAlignment="1" applyProtection="1">
      <alignment vertical="center"/>
    </xf>
    <xf numFmtId="49" fontId="27" fillId="0" borderId="0" xfId="0" applyNumberFormat="1" applyFont="1" applyFill="1" applyProtection="1"/>
    <xf numFmtId="49" fontId="28" fillId="0" borderId="0" xfId="0" applyNumberFormat="1" applyFont="1" applyFill="1" applyBorder="1" applyProtection="1"/>
    <xf numFmtId="49" fontId="27" fillId="0" borderId="0" xfId="0" applyNumberFormat="1" applyFont="1" applyBorder="1" applyProtection="1"/>
    <xf numFmtId="49" fontId="28" fillId="0" borderId="9" xfId="0" applyNumberFormat="1" applyFont="1" applyFill="1" applyBorder="1" applyProtection="1"/>
    <xf numFmtId="167" fontId="33" fillId="0" borderId="11" xfId="0" applyNumberFormat="1" applyFont="1" applyBorder="1" applyAlignment="1" applyProtection="1">
      <alignment horizontal="right"/>
    </xf>
    <xf numFmtId="0" fontId="64" fillId="0" borderId="0" xfId="0" applyFont="1" applyFill="1" applyProtection="1"/>
    <xf numFmtId="0" fontId="0" fillId="0" borderId="0" xfId="0" applyAlignment="1" applyProtection="1">
      <alignment vertical="center"/>
    </xf>
    <xf numFmtId="0" fontId="0" fillId="0" borderId="0" xfId="0" applyFont="1" applyAlignment="1" applyProtection="1">
      <alignment horizontal="right" vertical="center"/>
    </xf>
    <xf numFmtId="49" fontId="3" fillId="0" borderId="0" xfId="0" applyNumberFormat="1" applyFont="1" applyFill="1" applyProtection="1"/>
    <xf numFmtId="0" fontId="3" fillId="0" borderId="0" xfId="0" applyFont="1" applyFill="1" applyProtection="1"/>
    <xf numFmtId="0" fontId="29" fillId="0" borderId="0" xfId="0" applyFont="1" applyFill="1" applyAlignment="1" applyProtection="1">
      <alignment horizontal="right"/>
    </xf>
    <xf numFmtId="0" fontId="28" fillId="0" borderId="6" xfId="0" applyFont="1" applyFill="1" applyBorder="1" applyAlignment="1" applyProtection="1">
      <alignment vertical="center"/>
    </xf>
    <xf numFmtId="0" fontId="28" fillId="0" borderId="6" xfId="0" applyFont="1" applyFill="1" applyBorder="1" applyAlignment="1" applyProtection="1">
      <alignment horizontal="right" vertical="center"/>
    </xf>
    <xf numFmtId="0" fontId="28" fillId="0" borderId="16" xfId="0" applyFont="1" applyFill="1" applyBorder="1" applyProtection="1"/>
    <xf numFmtId="0" fontId="28" fillId="0" borderId="43" xfId="0" applyFont="1" applyFill="1" applyBorder="1" applyProtection="1"/>
    <xf numFmtId="0" fontId="0" fillId="0" borderId="0" xfId="0" applyAlignment="1" applyProtection="1">
      <alignment horizontal="right" vertical="center"/>
    </xf>
    <xf numFmtId="167" fontId="33" fillId="0" borderId="4" xfId="0" applyNumberFormat="1" applyFont="1" applyFill="1" applyBorder="1" applyProtection="1"/>
    <xf numFmtId="167" fontId="33" fillId="0" borderId="4" xfId="0" applyNumberFormat="1" applyFont="1" applyBorder="1" applyProtection="1"/>
    <xf numFmtId="167" fontId="31" fillId="0" borderId="4" xfId="0" applyNumberFormat="1" applyFont="1" applyBorder="1" applyAlignment="1" applyProtection="1">
      <alignment horizontal="right"/>
    </xf>
    <xf numFmtId="167" fontId="33" fillId="0" borderId="31" xfId="0" quotePrefix="1" applyNumberFormat="1" applyFont="1" applyBorder="1" applyAlignment="1" applyProtection="1">
      <alignment horizontal="right"/>
    </xf>
    <xf numFmtId="167" fontId="33" fillId="0" borderId="21" xfId="0" quotePrefix="1" applyNumberFormat="1" applyFont="1" applyBorder="1" applyAlignment="1" applyProtection="1">
      <alignment horizontal="right"/>
    </xf>
    <xf numFmtId="49" fontId="52" fillId="0" borderId="0" xfId="0" applyNumberFormat="1" applyFont="1" applyFill="1" applyBorder="1" applyProtection="1"/>
    <xf numFmtId="0" fontId="52" fillId="0" borderId="0" xfId="0" applyFont="1" applyFill="1" applyBorder="1" applyProtection="1"/>
    <xf numFmtId="0" fontId="0" fillId="0" borderId="0" xfId="0" applyFill="1" applyAlignment="1" applyProtection="1">
      <alignment horizontal="right"/>
    </xf>
    <xf numFmtId="0" fontId="46" fillId="0" borderId="0" xfId="0" applyFont="1" applyProtection="1"/>
    <xf numFmtId="0" fontId="32" fillId="0" borderId="5" xfId="0" applyFont="1" applyBorder="1" applyAlignment="1" applyProtection="1">
      <alignment horizontal="centerContinuous"/>
    </xf>
    <xf numFmtId="0" fontId="0" fillId="0" borderId="6" xfId="0" applyBorder="1" applyAlignment="1" applyProtection="1">
      <alignment horizontal="centerContinuous"/>
    </xf>
    <xf numFmtId="0" fontId="0" fillId="0" borderId="7" xfId="0" applyBorder="1" applyAlignment="1" applyProtection="1">
      <alignment horizontal="centerContinuous"/>
    </xf>
    <xf numFmtId="0" fontId="32" fillId="0" borderId="35" xfId="0" applyFont="1" applyBorder="1" applyAlignment="1" applyProtection="1">
      <alignment horizontal="right"/>
    </xf>
    <xf numFmtId="0" fontId="44" fillId="0" borderId="2" xfId="0" applyFont="1" applyBorder="1" applyAlignment="1" applyProtection="1"/>
    <xf numFmtId="0" fontId="0" fillId="0" borderId="16" xfId="0" applyBorder="1" applyAlignment="1" applyProtection="1"/>
    <xf numFmtId="0" fontId="32" fillId="0" borderId="35" xfId="0" applyFont="1" applyBorder="1" applyProtection="1"/>
    <xf numFmtId="167" fontId="28" fillId="0" borderId="13" xfId="0" applyNumberFormat="1" applyFont="1" applyBorder="1" applyProtection="1"/>
    <xf numFmtId="167" fontId="28" fillId="0" borderId="4" xfId="0" applyNumberFormat="1" applyFont="1" applyBorder="1" applyProtection="1"/>
    <xf numFmtId="167" fontId="28" fillId="0" borderId="35" xfId="0" applyNumberFormat="1" applyFont="1" applyBorder="1" applyProtection="1"/>
    <xf numFmtId="0" fontId="32" fillId="0" borderId="10" xfId="0" applyFont="1" applyBorder="1" applyAlignment="1" applyProtection="1"/>
    <xf numFmtId="0" fontId="0" fillId="0" borderId="12" xfId="0" applyBorder="1" applyAlignment="1" applyProtection="1"/>
    <xf numFmtId="167" fontId="28" fillId="0" borderId="8" xfId="0" applyNumberFormat="1" applyFont="1" applyBorder="1" applyProtection="1"/>
    <xf numFmtId="167" fontId="28" fillId="0" borderId="0" xfId="0" applyNumberFormat="1" applyFont="1" applyBorder="1" applyProtection="1"/>
    <xf numFmtId="167" fontId="28" fillId="0" borderId="16" xfId="0" applyNumberFormat="1" applyFont="1" applyBorder="1" applyProtection="1"/>
    <xf numFmtId="167" fontId="32" fillId="5" borderId="44" xfId="0" applyNumberFormat="1" applyFont="1" applyFill="1" applyBorder="1" applyAlignment="1" applyProtection="1">
      <alignment horizontal="right"/>
    </xf>
    <xf numFmtId="167" fontId="32" fillId="0" borderId="45" xfId="0" applyNumberFormat="1" applyFont="1" applyFill="1" applyBorder="1" applyAlignment="1" applyProtection="1">
      <alignment horizontal="right"/>
    </xf>
    <xf numFmtId="167" fontId="32" fillId="0" borderId="39" xfId="0" applyNumberFormat="1" applyFont="1" applyFill="1" applyBorder="1" applyAlignment="1" applyProtection="1">
      <alignment horizontal="right"/>
    </xf>
    <xf numFmtId="167" fontId="32" fillId="0" borderId="24" xfId="0" applyNumberFormat="1" applyFont="1" applyFill="1" applyBorder="1" applyAlignment="1" applyProtection="1">
      <alignment horizontal="right"/>
    </xf>
    <xf numFmtId="167" fontId="32" fillId="0" borderId="46" xfId="0" applyNumberFormat="1" applyFont="1" applyFill="1" applyBorder="1" applyAlignment="1" applyProtection="1">
      <alignment horizontal="right"/>
    </xf>
    <xf numFmtId="167" fontId="32" fillId="5" borderId="47" xfId="0" applyNumberFormat="1" applyFont="1" applyFill="1" applyBorder="1" applyAlignment="1" applyProtection="1">
      <alignment horizontal="right"/>
    </xf>
    <xf numFmtId="167" fontId="32" fillId="0" borderId="47" xfId="0" applyNumberFormat="1" applyFont="1" applyFill="1" applyBorder="1" applyAlignment="1" applyProtection="1">
      <alignment horizontal="right"/>
    </xf>
    <xf numFmtId="167" fontId="32" fillId="0" borderId="37" xfId="0" applyNumberFormat="1" applyFont="1" applyFill="1" applyBorder="1" applyAlignment="1" applyProtection="1">
      <alignment horizontal="right"/>
    </xf>
    <xf numFmtId="167" fontId="32" fillId="0" borderId="33" xfId="0" applyNumberFormat="1" applyFont="1" applyFill="1" applyBorder="1" applyAlignment="1" applyProtection="1">
      <alignment horizontal="right"/>
    </xf>
    <xf numFmtId="167" fontId="32" fillId="0" borderId="48" xfId="0" applyNumberFormat="1" applyFont="1" applyFill="1" applyBorder="1" applyAlignment="1" applyProtection="1">
      <alignment horizontal="right"/>
    </xf>
    <xf numFmtId="167" fontId="32" fillId="0" borderId="49" xfId="0" applyNumberFormat="1" applyFont="1" applyFill="1" applyBorder="1" applyAlignment="1" applyProtection="1">
      <alignment horizontal="right"/>
    </xf>
    <xf numFmtId="167" fontId="32" fillId="5" borderId="49" xfId="0" applyNumberFormat="1" applyFont="1" applyFill="1" applyBorder="1" applyAlignment="1" applyProtection="1">
      <alignment horizontal="right"/>
    </xf>
    <xf numFmtId="167" fontId="32" fillId="0" borderId="50" xfId="0" applyNumberFormat="1" applyFont="1" applyBorder="1" applyAlignment="1" applyProtection="1">
      <alignment horizontal="right"/>
    </xf>
    <xf numFmtId="167" fontId="32" fillId="0" borderId="49" xfId="0" applyNumberFormat="1" applyFont="1" applyBorder="1" applyAlignment="1" applyProtection="1">
      <alignment horizontal="right"/>
    </xf>
    <xf numFmtId="167" fontId="32" fillId="5" borderId="50" xfId="0" applyNumberFormat="1" applyFont="1" applyFill="1" applyBorder="1" applyAlignment="1" applyProtection="1">
      <alignment horizontal="right"/>
    </xf>
    <xf numFmtId="0" fontId="32" fillId="0" borderId="16" xfId="0" applyFont="1" applyBorder="1" applyProtection="1"/>
    <xf numFmtId="167" fontId="32" fillId="0" borderId="51" xfId="0" applyNumberFormat="1" applyFont="1" applyFill="1" applyBorder="1" applyAlignment="1" applyProtection="1">
      <alignment horizontal="right"/>
    </xf>
    <xf numFmtId="167" fontId="32" fillId="0" borderId="52" xfId="0" applyNumberFormat="1" applyFont="1" applyFill="1" applyBorder="1" applyAlignment="1" applyProtection="1">
      <alignment horizontal="right"/>
    </xf>
    <xf numFmtId="167" fontId="32" fillId="0" borderId="32" xfId="0" applyNumberFormat="1" applyFont="1" applyFill="1" applyBorder="1" applyProtection="1"/>
    <xf numFmtId="0" fontId="32" fillId="0" borderId="0" xfId="0" applyFont="1" applyProtection="1"/>
    <xf numFmtId="167" fontId="32" fillId="0" borderId="0" xfId="0" applyNumberFormat="1" applyFont="1" applyProtection="1"/>
    <xf numFmtId="167" fontId="32" fillId="0" borderId="32" xfId="0" applyNumberFormat="1" applyFont="1" applyBorder="1" applyProtection="1"/>
    <xf numFmtId="0" fontId="32" fillId="0" borderId="9" xfId="0" applyFont="1" applyBorder="1" applyAlignment="1" applyProtection="1">
      <alignment horizontal="left"/>
    </xf>
    <xf numFmtId="167" fontId="28" fillId="0" borderId="11" xfId="0" applyNumberFormat="1" applyFont="1" applyBorder="1" applyProtection="1"/>
    <xf numFmtId="167" fontId="28" fillId="0" borderId="9" xfId="0" applyNumberFormat="1" applyFont="1" applyBorder="1" applyProtection="1"/>
    <xf numFmtId="167" fontId="28" fillId="0" borderId="12" xfId="0" applyNumberFormat="1" applyFont="1" applyBorder="1" applyProtection="1"/>
    <xf numFmtId="0" fontId="0" fillId="0" borderId="2" xfId="0" applyBorder="1" applyProtection="1"/>
    <xf numFmtId="0" fontId="44" fillId="0" borderId="0" xfId="0" applyFont="1" applyProtection="1"/>
    <xf numFmtId="0" fontId="44" fillId="0" borderId="4" xfId="0" applyFont="1" applyBorder="1" applyAlignment="1" applyProtection="1">
      <alignment vertical="center" wrapText="1"/>
    </xf>
    <xf numFmtId="0" fontId="44" fillId="0" borderId="0" xfId="0" applyFont="1" applyBorder="1" applyAlignment="1" applyProtection="1">
      <alignment horizontal="left" wrapText="1"/>
    </xf>
    <xf numFmtId="167" fontId="32" fillId="0" borderId="0" xfId="0" applyNumberFormat="1" applyFont="1" applyFill="1" applyBorder="1" applyProtection="1"/>
    <xf numFmtId="0" fontId="44" fillId="0" borderId="0" xfId="0" applyFont="1" applyBorder="1" applyAlignment="1" applyProtection="1">
      <alignment vertical="center" wrapText="1"/>
    </xf>
    <xf numFmtId="167" fontId="32" fillId="0" borderId="0" xfId="0" applyNumberFormat="1" applyFont="1" applyBorder="1" applyProtection="1"/>
    <xf numFmtId="0" fontId="12" fillId="0" borderId="0" xfId="0" applyFont="1" applyProtection="1"/>
    <xf numFmtId="0" fontId="12" fillId="0" borderId="13" xfId="0" applyFont="1" applyBorder="1" applyProtection="1"/>
    <xf numFmtId="0" fontId="12" fillId="0" borderId="11" xfId="0" applyFont="1" applyBorder="1" applyProtection="1"/>
    <xf numFmtId="167" fontId="31" fillId="0" borderId="17" xfId="0" applyNumberFormat="1" applyFont="1" applyBorder="1" applyProtection="1"/>
    <xf numFmtId="167" fontId="31" fillId="0" borderId="24" xfId="0" applyNumberFormat="1" applyFont="1" applyBorder="1" applyProtection="1"/>
    <xf numFmtId="0" fontId="32" fillId="0" borderId="9" xfId="0" applyFont="1" applyBorder="1" applyProtection="1"/>
    <xf numFmtId="0" fontId="9" fillId="0" borderId="6" xfId="0" applyFont="1" applyBorder="1" applyProtection="1"/>
    <xf numFmtId="0" fontId="3" fillId="0" borderId="6" xfId="0" applyFont="1" applyBorder="1" applyProtection="1"/>
    <xf numFmtId="0" fontId="3" fillId="0" borderId="7" xfId="0" applyFont="1" applyBorder="1" applyProtection="1"/>
    <xf numFmtId="0" fontId="2" fillId="0" borderId="0" xfId="0" applyFont="1" applyBorder="1" applyProtection="1"/>
    <xf numFmtId="167" fontId="8" fillId="0" borderId="8" xfId="0" applyNumberFormat="1" applyFont="1" applyBorder="1" applyProtection="1"/>
    <xf numFmtId="0" fontId="3" fillId="0" borderId="1" xfId="0" applyFont="1" applyBorder="1" applyProtection="1"/>
    <xf numFmtId="167" fontId="8" fillId="0" borderId="17" xfId="0" applyNumberFormat="1" applyFont="1" applyBorder="1" applyProtection="1"/>
    <xf numFmtId="0" fontId="3" fillId="0" borderId="16" xfId="0" applyFont="1" applyBorder="1" applyProtection="1"/>
    <xf numFmtId="0" fontId="2" fillId="0" borderId="0" xfId="0" applyFont="1" applyProtection="1"/>
    <xf numFmtId="0" fontId="3" fillId="0" borderId="9" xfId="0" applyFont="1" applyBorder="1" applyProtection="1"/>
    <xf numFmtId="0" fontId="0" fillId="0" borderId="12" xfId="0" applyBorder="1" applyProtection="1"/>
    <xf numFmtId="167" fontId="8" fillId="0" borderId="11" xfId="0" applyNumberFormat="1" applyFont="1" applyBorder="1" applyProtection="1"/>
    <xf numFmtId="0" fontId="65" fillId="0" borderId="0" xfId="0" applyFont="1" applyFill="1" applyBorder="1" applyAlignment="1" applyProtection="1">
      <alignment vertical="center"/>
      <protection locked="0"/>
    </xf>
    <xf numFmtId="0" fontId="6" fillId="4" borderId="0" xfId="0" applyFont="1" applyFill="1"/>
    <xf numFmtId="0" fontId="6" fillId="0" borderId="0" xfId="0" applyFont="1" applyFill="1"/>
    <xf numFmtId="0" fontId="67" fillId="0" borderId="0" xfId="0" applyFont="1"/>
    <xf numFmtId="0" fontId="68" fillId="0" borderId="0" xfId="0" applyFont="1"/>
    <xf numFmtId="0" fontId="67" fillId="0" borderId="0" xfId="0" applyFont="1" applyAlignment="1">
      <alignment horizontal="center"/>
    </xf>
    <xf numFmtId="0" fontId="67" fillId="4" borderId="0" xfId="0" applyFont="1" applyFill="1"/>
    <xf numFmtId="0" fontId="67" fillId="4" borderId="0" xfId="0" applyFont="1" applyFill="1" applyAlignment="1">
      <alignment horizontal="center"/>
    </xf>
    <xf numFmtId="169" fontId="67" fillId="4" borderId="0" xfId="0" quotePrefix="1" applyNumberFormat="1" applyFont="1" applyFill="1"/>
    <xf numFmtId="167" fontId="28" fillId="6" borderId="8" xfId="0" applyNumberFormat="1" applyFont="1" applyFill="1" applyBorder="1" applyAlignment="1" applyProtection="1">
      <alignment horizontal="right"/>
    </xf>
    <xf numFmtId="167" fontId="28" fillId="6" borderId="17" xfId="0" applyNumberFormat="1" applyFont="1" applyFill="1" applyBorder="1" applyAlignment="1" applyProtection="1">
      <alignment horizontal="right"/>
    </xf>
    <xf numFmtId="167" fontId="28" fillId="0" borderId="0" xfId="0" applyNumberFormat="1" applyFont="1" applyFill="1" applyBorder="1" applyAlignment="1" applyProtection="1">
      <alignment horizontal="right"/>
      <protection locked="0"/>
    </xf>
    <xf numFmtId="167" fontId="33" fillId="0" borderId="2" xfId="0" applyNumberFormat="1" applyFont="1" applyFill="1" applyBorder="1" applyAlignment="1" applyProtection="1">
      <alignment horizontal="right"/>
    </xf>
    <xf numFmtId="167" fontId="33" fillId="0" borderId="3" xfId="0" applyNumberFormat="1" applyFont="1" applyFill="1" applyBorder="1" applyAlignment="1" applyProtection="1">
      <alignment horizontal="right"/>
    </xf>
    <xf numFmtId="167" fontId="33" fillId="0" borderId="31" xfId="0" applyNumberFormat="1" applyFont="1" applyFill="1" applyBorder="1" applyAlignment="1" applyProtection="1">
      <alignment horizontal="right"/>
    </xf>
    <xf numFmtId="167" fontId="33" fillId="0" borderId="21" xfId="0" applyNumberFormat="1" applyFont="1" applyFill="1" applyBorder="1" applyAlignment="1" applyProtection="1">
      <alignment horizontal="right"/>
    </xf>
    <xf numFmtId="167" fontId="33" fillId="0" borderId="10" xfId="0" applyNumberFormat="1" applyFont="1" applyFill="1" applyBorder="1" applyAlignment="1" applyProtection="1">
      <alignment horizontal="right"/>
    </xf>
    <xf numFmtId="167" fontId="33" fillId="0" borderId="23" xfId="0" applyNumberFormat="1" applyFont="1" applyFill="1" applyBorder="1" applyAlignment="1" applyProtection="1">
      <alignment horizontal="right"/>
    </xf>
    <xf numFmtId="0" fontId="6" fillId="0" borderId="53" xfId="0" applyFont="1" applyBorder="1"/>
    <xf numFmtId="0" fontId="6" fillId="0" borderId="54" xfId="0" applyFont="1" applyBorder="1"/>
    <xf numFmtId="0" fontId="6" fillId="0" borderId="55" xfId="0" applyFont="1" applyBorder="1"/>
    <xf numFmtId="0" fontId="26" fillId="0" borderId="0" xfId="0" applyFont="1" applyBorder="1"/>
    <xf numFmtId="0" fontId="27" fillId="0" borderId="0" xfId="0" applyFont="1" applyProtection="1"/>
    <xf numFmtId="0" fontId="29" fillId="4" borderId="53" xfId="0" applyFont="1" applyFill="1" applyBorder="1"/>
    <xf numFmtId="0" fontId="29" fillId="4" borderId="26" xfId="0" applyFont="1" applyFill="1" applyBorder="1"/>
    <xf numFmtId="0" fontId="29" fillId="4" borderId="27" xfId="0" applyFont="1" applyFill="1" applyBorder="1"/>
    <xf numFmtId="0" fontId="29" fillId="4" borderId="54" xfId="0" applyFont="1" applyFill="1" applyBorder="1"/>
    <xf numFmtId="0" fontId="29" fillId="4" borderId="0" xfId="0" applyFont="1" applyFill="1" applyBorder="1"/>
    <xf numFmtId="0" fontId="29" fillId="4" borderId="28" xfId="0" applyFont="1" applyFill="1" applyBorder="1"/>
    <xf numFmtId="0" fontId="35" fillId="4" borderId="0" xfId="0" applyFont="1" applyFill="1" applyBorder="1" applyAlignment="1">
      <alignment horizontal="center" vertical="center"/>
    </xf>
    <xf numFmtId="0" fontId="36" fillId="4" borderId="0" xfId="0" applyFont="1" applyFill="1" applyBorder="1" applyAlignment="1">
      <alignment horizontal="center" vertical="center"/>
    </xf>
    <xf numFmtId="0" fontId="39" fillId="4" borderId="0" xfId="0" applyFont="1" applyFill="1" applyBorder="1"/>
    <xf numFmtId="0" fontId="40" fillId="4" borderId="0" xfId="0" applyFont="1" applyFill="1" applyBorder="1" applyAlignment="1">
      <alignment vertical="center"/>
    </xf>
    <xf numFmtId="0" fontId="40" fillId="4" borderId="0" xfId="0" applyFont="1" applyFill="1" applyBorder="1" applyAlignment="1">
      <alignment horizontal="right" vertical="center"/>
    </xf>
    <xf numFmtId="0" fontId="41" fillId="4" borderId="0" xfId="0" applyFont="1" applyFill="1" applyBorder="1" applyAlignment="1">
      <alignment vertical="center"/>
    </xf>
    <xf numFmtId="0" fontId="40" fillId="4" borderId="0" xfId="0" applyFont="1" applyFill="1" applyAlignment="1">
      <alignment horizontal="right"/>
    </xf>
    <xf numFmtId="0" fontId="38" fillId="4" borderId="0" xfId="0" applyFont="1" applyFill="1" applyBorder="1"/>
    <xf numFmtId="0" fontId="37" fillId="4" borderId="0" xfId="0" applyFont="1" applyFill="1" applyBorder="1"/>
    <xf numFmtId="0" fontId="27" fillId="4" borderId="56" xfId="0" applyFont="1" applyFill="1" applyBorder="1" applyAlignment="1">
      <alignment horizontal="center" vertical="center" wrapText="1"/>
    </xf>
    <xf numFmtId="0" fontId="29" fillId="4" borderId="0" xfId="0" applyFont="1" applyFill="1"/>
    <xf numFmtId="0" fontId="40" fillId="4" borderId="0" xfId="0" applyFont="1" applyFill="1"/>
    <xf numFmtId="0" fontId="43" fillId="4" borderId="54" xfId="0" applyFont="1" applyFill="1" applyBorder="1" applyAlignment="1">
      <alignment horizontal="center"/>
    </xf>
    <xf numFmtId="0" fontId="43" fillId="4" borderId="0" xfId="0" applyFont="1" applyFill="1" applyBorder="1" applyAlignment="1">
      <alignment horizontal="center"/>
    </xf>
    <xf numFmtId="0" fontId="26" fillId="4" borderId="0" xfId="0" applyFont="1" applyFill="1" applyBorder="1" applyAlignment="1">
      <alignment horizontal="left"/>
    </xf>
    <xf numFmtId="0" fontId="29" fillId="4" borderId="0" xfId="0" applyFont="1" applyFill="1" applyBorder="1" applyAlignment="1">
      <alignment horizontal="right"/>
    </xf>
    <xf numFmtId="0" fontId="29" fillId="4" borderId="55" xfId="0" applyFont="1" applyFill="1" applyBorder="1"/>
    <xf numFmtId="0" fontId="29" fillId="4" borderId="29" xfId="0" applyFont="1" applyFill="1" applyBorder="1"/>
    <xf numFmtId="0" fontId="29" fillId="4" borderId="30" xfId="0" applyFont="1" applyFill="1" applyBorder="1"/>
    <xf numFmtId="0" fontId="44" fillId="0" borderId="47" xfId="0" applyFont="1" applyFill="1" applyBorder="1" applyAlignment="1" applyProtection="1">
      <alignment horizontal="center"/>
      <protection locked="0"/>
    </xf>
    <xf numFmtId="168" fontId="65" fillId="0" borderId="0" xfId="0" applyNumberFormat="1" applyFont="1" applyFill="1" applyBorder="1" applyAlignment="1" applyProtection="1">
      <alignment vertical="center"/>
      <protection locked="0"/>
    </xf>
    <xf numFmtId="0" fontId="29" fillId="7" borderId="0" xfId="0" applyFont="1" applyFill="1" applyBorder="1"/>
    <xf numFmtId="49" fontId="28" fillId="6" borderId="10" xfId="0" applyNumberFormat="1" applyFont="1" applyFill="1" applyBorder="1" applyAlignment="1" applyProtection="1">
      <alignment horizontal="left"/>
    </xf>
    <xf numFmtId="167" fontId="28" fillId="6" borderId="0" xfId="0" applyNumberFormat="1" applyFont="1" applyFill="1" applyBorder="1" applyAlignment="1" applyProtection="1">
      <alignment horizontal="right"/>
    </xf>
    <xf numFmtId="167" fontId="28" fillId="6" borderId="16" xfId="0" applyNumberFormat="1" applyFont="1" applyFill="1" applyBorder="1" applyAlignment="1" applyProtection="1">
      <alignment horizontal="right"/>
    </xf>
    <xf numFmtId="49" fontId="28" fillId="6" borderId="2" xfId="0" applyNumberFormat="1" applyFont="1" applyFill="1" applyBorder="1" applyAlignment="1" applyProtection="1">
      <alignment horizontal="left"/>
    </xf>
    <xf numFmtId="0" fontId="28" fillId="6" borderId="0" xfId="0" applyFont="1" applyFill="1" applyBorder="1" applyAlignment="1" applyProtection="1">
      <alignment horizontal="left" indent="1"/>
    </xf>
    <xf numFmtId="49" fontId="28" fillId="6" borderId="31" xfId="0" applyNumberFormat="1" applyFont="1" applyFill="1" applyBorder="1" applyAlignment="1" applyProtection="1">
      <alignment horizontal="left"/>
    </xf>
    <xf numFmtId="0" fontId="28" fillId="6" borderId="1" xfId="0" applyFont="1" applyFill="1" applyBorder="1" applyAlignment="1" applyProtection="1">
      <alignment horizontal="left" indent="1"/>
    </xf>
    <xf numFmtId="0" fontId="28" fillId="6" borderId="9" xfId="0" applyFont="1" applyFill="1" applyBorder="1" applyAlignment="1" applyProtection="1">
      <alignment horizontal="left" indent="1"/>
    </xf>
    <xf numFmtId="49" fontId="63" fillId="6" borderId="2" xfId="0" applyNumberFormat="1" applyFont="1" applyFill="1" applyBorder="1" applyAlignment="1" applyProtection="1">
      <alignment horizontal="left"/>
    </xf>
    <xf numFmtId="167" fontId="28" fillId="8" borderId="8" xfId="0" applyNumberFormat="1" applyFont="1" applyFill="1" applyBorder="1" applyAlignment="1" applyProtection="1">
      <alignment horizontal="right"/>
      <protection locked="0"/>
    </xf>
    <xf numFmtId="0" fontId="28" fillId="6" borderId="0" xfId="0" applyFont="1" applyFill="1" applyBorder="1" applyAlignment="1" applyProtection="1">
      <alignment horizontal="left" indent="2"/>
    </xf>
    <xf numFmtId="0" fontId="48" fillId="6" borderId="0" xfId="0" applyFont="1" applyFill="1" applyBorder="1" applyAlignment="1" applyProtection="1">
      <alignment horizontal="left"/>
    </xf>
    <xf numFmtId="0" fontId="28" fillId="0" borderId="57" xfId="0" applyFont="1" applyFill="1" applyBorder="1" applyProtection="1"/>
    <xf numFmtId="167" fontId="33" fillId="0" borderId="58" xfId="0" applyNumberFormat="1" applyFont="1" applyFill="1" applyBorder="1" applyAlignment="1" applyProtection="1">
      <alignment horizontal="right"/>
    </xf>
    <xf numFmtId="167" fontId="33" fillId="0" borderId="50" xfId="0" applyNumberFormat="1" applyFont="1" applyFill="1" applyBorder="1" applyAlignment="1" applyProtection="1">
      <alignment horizontal="right"/>
    </xf>
    <xf numFmtId="0" fontId="0" fillId="6" borderId="0" xfId="0" applyFill="1" applyProtection="1"/>
    <xf numFmtId="49" fontId="63" fillId="6" borderId="31" xfId="0" applyNumberFormat="1" applyFont="1" applyFill="1" applyBorder="1" applyAlignment="1" applyProtection="1">
      <alignment horizontal="left"/>
    </xf>
    <xf numFmtId="0" fontId="27" fillId="6" borderId="1" xfId="0" applyFont="1" applyFill="1" applyBorder="1" applyAlignment="1" applyProtection="1">
      <alignment horizontal="left"/>
    </xf>
    <xf numFmtId="49" fontId="63" fillId="6" borderId="58" xfId="0" applyNumberFormat="1" applyFont="1" applyFill="1" applyBorder="1" applyAlignment="1" applyProtection="1">
      <alignment horizontal="left"/>
    </xf>
    <xf numFmtId="0" fontId="29" fillId="6" borderId="0" xfId="0" applyFont="1" applyFill="1" applyAlignment="1" applyProtection="1">
      <alignment horizontal="right"/>
    </xf>
    <xf numFmtId="167" fontId="61" fillId="6" borderId="8" xfId="0" applyNumberFormat="1" applyFont="1" applyFill="1" applyBorder="1" applyAlignment="1" applyProtection="1">
      <alignment horizontal="right"/>
    </xf>
    <xf numFmtId="167" fontId="28" fillId="6" borderId="24" xfId="0" applyNumberFormat="1" applyFont="1" applyFill="1" applyBorder="1" applyAlignment="1" applyProtection="1">
      <alignment horizontal="right"/>
    </xf>
    <xf numFmtId="167" fontId="28" fillId="6" borderId="59" xfId="0" applyNumberFormat="1" applyFont="1" applyFill="1" applyBorder="1" applyAlignment="1" applyProtection="1">
      <alignment horizontal="right"/>
    </xf>
    <xf numFmtId="167" fontId="28" fillId="6" borderId="42" xfId="0" applyNumberFormat="1" applyFont="1" applyFill="1" applyBorder="1" applyAlignment="1" applyProtection="1">
      <alignment horizontal="right"/>
    </xf>
    <xf numFmtId="167" fontId="28" fillId="6" borderId="18" xfId="0" applyNumberFormat="1" applyFont="1" applyFill="1" applyBorder="1" applyAlignment="1" applyProtection="1">
      <alignment horizontal="right"/>
    </xf>
    <xf numFmtId="167" fontId="28" fillId="6" borderId="57" xfId="0" applyNumberFormat="1" applyFont="1" applyFill="1" applyBorder="1" applyAlignment="1" applyProtection="1">
      <alignment horizontal="right"/>
    </xf>
    <xf numFmtId="167" fontId="28" fillId="6" borderId="60" xfId="0" applyNumberFormat="1" applyFont="1" applyFill="1" applyBorder="1" applyAlignment="1" applyProtection="1">
      <alignment horizontal="right"/>
    </xf>
    <xf numFmtId="167" fontId="28" fillId="6" borderId="1" xfId="0" applyNumberFormat="1" applyFont="1" applyFill="1" applyBorder="1" applyAlignment="1" applyProtection="1">
      <alignment horizontal="right"/>
    </xf>
    <xf numFmtId="167" fontId="28" fillId="6" borderId="43" xfId="0" applyNumberFormat="1" applyFont="1" applyFill="1" applyBorder="1" applyAlignment="1" applyProtection="1">
      <alignment horizontal="right"/>
    </xf>
    <xf numFmtId="0" fontId="0" fillId="0" borderId="0" xfId="0" applyFill="1" applyAlignment="1" applyProtection="1">
      <alignment vertical="center"/>
    </xf>
    <xf numFmtId="0" fontId="28" fillId="0" borderId="7" xfId="0" applyFont="1" applyFill="1" applyBorder="1" applyAlignment="1" applyProtection="1">
      <alignment horizontal="right" vertical="center"/>
    </xf>
    <xf numFmtId="0" fontId="0" fillId="0" borderId="0" xfId="0" applyFill="1" applyAlignment="1" applyProtection="1">
      <alignment horizontal="right" vertical="center"/>
    </xf>
    <xf numFmtId="167" fontId="28" fillId="9" borderId="8" xfId="0" applyNumberFormat="1" applyFont="1" applyFill="1" applyBorder="1" applyAlignment="1" applyProtection="1">
      <alignment horizontal="right"/>
    </xf>
    <xf numFmtId="167" fontId="28" fillId="9" borderId="0" xfId="0" applyNumberFormat="1" applyFont="1" applyFill="1" applyBorder="1" applyAlignment="1" applyProtection="1">
      <alignment horizontal="right"/>
    </xf>
    <xf numFmtId="167" fontId="28" fillId="9" borderId="16" xfId="0" applyNumberFormat="1" applyFont="1" applyFill="1" applyBorder="1" applyAlignment="1" applyProtection="1">
      <alignment horizontal="right"/>
    </xf>
    <xf numFmtId="167" fontId="31" fillId="9" borderId="11" xfId="0" applyNumberFormat="1" applyFont="1" applyFill="1" applyBorder="1" applyAlignment="1" applyProtection="1">
      <alignment horizontal="right"/>
    </xf>
    <xf numFmtId="167" fontId="61" fillId="4" borderId="11" xfId="0" applyNumberFormat="1" applyFont="1" applyFill="1" applyBorder="1" applyAlignment="1" applyProtection="1">
      <alignment horizontal="right"/>
    </xf>
    <xf numFmtId="167" fontId="61" fillId="0" borderId="11" xfId="0" applyNumberFormat="1" applyFont="1" applyBorder="1" applyAlignment="1" applyProtection="1">
      <alignment horizontal="right"/>
    </xf>
    <xf numFmtId="0" fontId="65" fillId="4" borderId="0" xfId="0" applyFont="1" applyFill="1" applyBorder="1" applyAlignment="1">
      <alignment vertical="center"/>
    </xf>
    <xf numFmtId="0" fontId="70" fillId="4" borderId="61" xfId="0" applyFont="1" applyFill="1" applyBorder="1" applyAlignment="1">
      <alignment horizontal="left"/>
    </xf>
    <xf numFmtId="0" fontId="70" fillId="4" borderId="61" xfId="0" applyFont="1" applyFill="1" applyBorder="1" applyAlignment="1">
      <alignment horizontal="left" vertical="center"/>
    </xf>
    <xf numFmtId="0" fontId="70" fillId="4" borderId="62" xfId="0" applyFont="1" applyFill="1" applyBorder="1" applyAlignment="1">
      <alignment horizontal="left"/>
    </xf>
    <xf numFmtId="0" fontId="0" fillId="0" borderId="0" xfId="0" applyFont="1"/>
    <xf numFmtId="167" fontId="33" fillId="0" borderId="63" xfId="0" quotePrefix="1" applyNumberFormat="1" applyFont="1" applyBorder="1" applyAlignment="1" applyProtection="1">
      <alignment horizontal="right"/>
    </xf>
    <xf numFmtId="167" fontId="33" fillId="0" borderId="64" xfId="0" quotePrefix="1" applyNumberFormat="1" applyFont="1" applyBorder="1" applyAlignment="1" applyProtection="1">
      <alignment horizontal="right"/>
    </xf>
    <xf numFmtId="167" fontId="33" fillId="0" borderId="65" xfId="0" applyNumberFormat="1" applyFont="1" applyBorder="1" applyAlignment="1" applyProtection="1">
      <alignment horizontal="right"/>
    </xf>
    <xf numFmtId="167" fontId="33" fillId="0" borderId="66" xfId="0" applyNumberFormat="1" applyFont="1" applyBorder="1" applyAlignment="1" applyProtection="1">
      <alignment horizontal="right"/>
    </xf>
    <xf numFmtId="167" fontId="33" fillId="0" borderId="67" xfId="0" applyNumberFormat="1" applyFont="1" applyBorder="1" applyAlignment="1" applyProtection="1">
      <alignment horizontal="right"/>
    </xf>
    <xf numFmtId="167" fontId="33" fillId="0" borderId="68" xfId="0" applyNumberFormat="1" applyFont="1" applyBorder="1" applyAlignment="1" applyProtection="1">
      <alignment horizontal="right"/>
    </xf>
    <xf numFmtId="167" fontId="33" fillId="0" borderId="14" xfId="0" quotePrefix="1" applyNumberFormat="1" applyFont="1" applyBorder="1" applyAlignment="1" applyProtection="1">
      <alignment horizontal="right"/>
    </xf>
    <xf numFmtId="167" fontId="33" fillId="0" borderId="15" xfId="0" quotePrefix="1" applyNumberFormat="1" applyFont="1" applyBorder="1" applyAlignment="1" applyProtection="1">
      <alignment horizontal="right"/>
    </xf>
    <xf numFmtId="167" fontId="28" fillId="0" borderId="13" xfId="0" applyNumberFormat="1" applyFont="1" applyFill="1" applyBorder="1" applyAlignment="1" applyProtection="1">
      <alignment horizontal="right"/>
      <protection locked="0"/>
    </xf>
    <xf numFmtId="0" fontId="26" fillId="0" borderId="0" xfId="0" applyFont="1"/>
    <xf numFmtId="0" fontId="26" fillId="0" borderId="0" xfId="0" applyFont="1" applyAlignment="1">
      <alignment horizontal="left" vertical="top" wrapText="1"/>
    </xf>
    <xf numFmtId="0" fontId="73" fillId="4" borderId="0" xfId="0" applyFont="1" applyFill="1" applyBorder="1" applyAlignment="1">
      <alignment horizontal="left"/>
    </xf>
    <xf numFmtId="0" fontId="29" fillId="0" borderId="0" xfId="0" quotePrefix="1" applyFont="1" applyBorder="1"/>
    <xf numFmtId="0" fontId="29" fillId="0" borderId="0" xfId="0" applyFont="1" applyAlignment="1">
      <alignment horizontal="left" wrapText="1"/>
    </xf>
    <xf numFmtId="0" fontId="65" fillId="0" borderId="0" xfId="0" applyFont="1" applyFill="1" applyBorder="1" applyAlignment="1" applyProtection="1">
      <alignment vertical="center"/>
    </xf>
    <xf numFmtId="167" fontId="28" fillId="4" borderId="8" xfId="0" applyNumberFormat="1" applyFont="1" applyFill="1" applyBorder="1" applyAlignment="1" applyProtection="1">
      <alignment horizontal="right"/>
      <protection locked="0"/>
    </xf>
    <xf numFmtId="167" fontId="28" fillId="4" borderId="11" xfId="0" applyNumberFormat="1" applyFont="1" applyFill="1" applyBorder="1" applyAlignment="1" applyProtection="1">
      <alignment horizontal="right"/>
      <protection locked="0"/>
    </xf>
    <xf numFmtId="167" fontId="28" fillId="10" borderId="8" xfId="0" applyNumberFormat="1" applyFont="1" applyFill="1" applyBorder="1" applyAlignment="1" applyProtection="1">
      <alignment horizontal="right"/>
      <protection locked="0"/>
    </xf>
    <xf numFmtId="167" fontId="31" fillId="0" borderId="25" xfId="0" quotePrefix="1" applyNumberFormat="1" applyFont="1" applyBorder="1" applyAlignment="1" applyProtection="1">
      <alignment horizontal="right"/>
      <protection locked="0"/>
    </xf>
    <xf numFmtId="167" fontId="31" fillId="4" borderId="8" xfId="0" applyNumberFormat="1" applyFont="1" applyFill="1" applyBorder="1" applyAlignment="1" applyProtection="1">
      <alignment horizontal="right"/>
      <protection locked="0"/>
    </xf>
    <xf numFmtId="167" fontId="28" fillId="10" borderId="11" xfId="0" applyNumberFormat="1" applyFont="1" applyFill="1" applyBorder="1" applyAlignment="1" applyProtection="1">
      <alignment horizontal="right"/>
      <protection locked="0"/>
    </xf>
    <xf numFmtId="167" fontId="28" fillId="10" borderId="8" xfId="0" applyNumberFormat="1" applyFont="1" applyFill="1" applyBorder="1" applyAlignment="1" applyProtection="1">
      <alignment horizontal="right"/>
    </xf>
    <xf numFmtId="167" fontId="28" fillId="0" borderId="10" xfId="0" applyNumberFormat="1" applyFont="1" applyBorder="1" applyAlignment="1" applyProtection="1">
      <alignment horizontal="right"/>
      <protection locked="0"/>
    </xf>
    <xf numFmtId="0" fontId="74" fillId="4" borderId="69" xfId="0" applyFont="1" applyFill="1" applyBorder="1" applyAlignment="1" applyProtection="1">
      <alignment horizontal="center" vertical="center" wrapText="1"/>
    </xf>
    <xf numFmtId="0" fontId="44" fillId="4" borderId="70" xfId="0" applyFont="1" applyFill="1" applyBorder="1" applyAlignment="1" applyProtection="1">
      <alignment horizontal="center"/>
    </xf>
    <xf numFmtId="0" fontId="0" fillId="0" borderId="0" xfId="0" applyAlignment="1">
      <alignment horizontal="center" wrapText="1"/>
    </xf>
    <xf numFmtId="0" fontId="76" fillId="0" borderId="0" xfId="0" applyFont="1" applyProtection="1"/>
    <xf numFmtId="0" fontId="76" fillId="0" borderId="0" xfId="0" applyFont="1" applyFill="1" applyProtection="1"/>
    <xf numFmtId="0" fontId="77" fillId="0" borderId="0" xfId="0" applyFont="1" applyAlignment="1" applyProtection="1">
      <alignment vertical="center"/>
    </xf>
    <xf numFmtId="0" fontId="72" fillId="0" borderId="0" xfId="0" applyFont="1" applyProtection="1"/>
    <xf numFmtId="167" fontId="31" fillId="10" borderId="8" xfId="0" applyNumberFormat="1" applyFont="1" applyFill="1" applyBorder="1" applyAlignment="1" applyProtection="1">
      <alignment horizontal="right"/>
      <protection locked="0"/>
    </xf>
    <xf numFmtId="0" fontId="36" fillId="0" borderId="0" xfId="0" applyFont="1" applyAlignment="1">
      <alignment horizontal="center" vertical="top" wrapText="1"/>
    </xf>
    <xf numFmtId="0" fontId="78" fillId="0" borderId="0" xfId="0" applyFont="1" applyAlignment="1">
      <alignment horizontal="center" vertical="top" wrapText="1"/>
    </xf>
    <xf numFmtId="0" fontId="26" fillId="0" borderId="0" xfId="0" applyFont="1" applyAlignment="1">
      <alignment horizontal="center" vertical="top" wrapText="1"/>
    </xf>
    <xf numFmtId="0" fontId="29" fillId="0" borderId="0" xfId="0" applyFont="1" applyAlignment="1">
      <alignment horizontal="center" vertical="top" wrapText="1"/>
    </xf>
    <xf numFmtId="0" fontId="78" fillId="0" borderId="0" xfId="0" applyFont="1" applyAlignment="1">
      <alignment vertical="top" wrapText="1"/>
    </xf>
    <xf numFmtId="0" fontId="29" fillId="0" borderId="0" xfId="0" applyFont="1" applyAlignment="1">
      <alignment horizontal="left" vertical="top" wrapText="1"/>
    </xf>
    <xf numFmtId="0" fontId="79" fillId="0" borderId="0" xfId="0" applyFont="1" applyAlignment="1">
      <alignment horizontal="left" vertical="top" wrapText="1"/>
    </xf>
    <xf numFmtId="0" fontId="79" fillId="0" borderId="0" xfId="0" applyFont="1" applyAlignment="1">
      <alignment horizontal="left" vertical="top" wrapText="1" indent="2"/>
    </xf>
    <xf numFmtId="0" fontId="79" fillId="0" borderId="0" xfId="0" applyFont="1" applyAlignment="1">
      <alignment horizontal="center" vertical="top" wrapText="1"/>
    </xf>
    <xf numFmtId="167" fontId="31" fillId="10" borderId="8" xfId="0" applyNumberFormat="1" applyFont="1" applyFill="1" applyBorder="1" applyAlignment="1" applyProtection="1">
      <alignment horizontal="right"/>
    </xf>
    <xf numFmtId="167" fontId="28" fillId="10" borderId="17" xfId="0" applyNumberFormat="1" applyFont="1" applyFill="1" applyBorder="1" applyAlignment="1" applyProtection="1">
      <alignment horizontal="right"/>
    </xf>
    <xf numFmtId="167" fontId="31" fillId="10" borderId="33" xfId="0" applyNumberFormat="1" applyFont="1" applyFill="1" applyBorder="1" applyAlignment="1" applyProtection="1">
      <alignment horizontal="right"/>
    </xf>
    <xf numFmtId="167" fontId="31" fillId="10" borderId="17" xfId="0" applyNumberFormat="1" applyFont="1" applyFill="1" applyBorder="1" applyAlignment="1" applyProtection="1">
      <alignment horizontal="right"/>
    </xf>
    <xf numFmtId="167" fontId="28" fillId="10" borderId="11" xfId="0" applyNumberFormat="1" applyFont="1" applyFill="1" applyBorder="1" applyAlignment="1" applyProtection="1">
      <alignment horizontal="right"/>
    </xf>
    <xf numFmtId="167" fontId="33" fillId="10" borderId="32" xfId="0" applyNumberFormat="1" applyFont="1" applyFill="1" applyBorder="1" applyAlignment="1" applyProtection="1">
      <alignment horizontal="right"/>
    </xf>
    <xf numFmtId="167" fontId="28" fillId="10" borderId="0" xfId="0" applyNumberFormat="1" applyFont="1" applyFill="1" applyBorder="1" applyAlignment="1" applyProtection="1">
      <alignment horizontal="right"/>
    </xf>
    <xf numFmtId="167" fontId="28" fillId="10" borderId="16" xfId="0" applyNumberFormat="1" applyFont="1" applyFill="1" applyBorder="1" applyAlignment="1" applyProtection="1">
      <alignment horizontal="right"/>
    </xf>
    <xf numFmtId="167" fontId="28" fillId="10" borderId="24" xfId="0" applyNumberFormat="1" applyFont="1" applyFill="1" applyBorder="1" applyAlignment="1" applyProtection="1">
      <alignment horizontal="right"/>
    </xf>
    <xf numFmtId="167" fontId="31" fillId="10" borderId="32" xfId="0" applyNumberFormat="1" applyFont="1" applyFill="1" applyBorder="1" applyAlignment="1" applyProtection="1">
      <alignment horizontal="right"/>
    </xf>
    <xf numFmtId="167" fontId="69" fillId="0" borderId="8" xfId="0" applyNumberFormat="1" applyFont="1" applyBorder="1" applyAlignment="1" applyProtection="1">
      <alignment horizontal="right"/>
      <protection locked="0"/>
    </xf>
    <xf numFmtId="167" fontId="69" fillId="0" borderId="0" xfId="0" applyNumberFormat="1" applyFont="1" applyBorder="1" applyAlignment="1" applyProtection="1">
      <alignment horizontal="right"/>
      <protection locked="0"/>
    </xf>
    <xf numFmtId="167" fontId="28" fillId="0" borderId="0" xfId="0" applyNumberFormat="1" applyFont="1" applyAlignment="1" applyProtection="1">
      <alignment horizontal="right"/>
    </xf>
    <xf numFmtId="0" fontId="61" fillId="0" borderId="8" xfId="0" applyNumberFormat="1" applyFont="1" applyFill="1" applyBorder="1" applyAlignment="1" applyProtection="1">
      <alignment horizontal="right"/>
    </xf>
    <xf numFmtId="167" fontId="31" fillId="4" borderId="17" xfId="0" applyNumberFormat="1" applyFont="1" applyFill="1" applyBorder="1" applyAlignment="1" applyProtection="1">
      <alignment horizontal="right"/>
      <protection locked="0"/>
    </xf>
    <xf numFmtId="49" fontId="26" fillId="4" borderId="0" xfId="0" applyNumberFormat="1" applyFont="1" applyFill="1" applyAlignment="1" applyProtection="1">
      <alignment horizontal="left"/>
    </xf>
    <xf numFmtId="0" fontId="26" fillId="4" borderId="0" xfId="0" applyFont="1" applyFill="1" applyAlignment="1" applyProtection="1"/>
    <xf numFmtId="0" fontId="27" fillId="4" borderId="0" xfId="0" applyFont="1" applyFill="1" applyAlignment="1" applyProtection="1"/>
    <xf numFmtId="0" fontId="27" fillId="4" borderId="0" xfId="0" applyNumberFormat="1" applyFont="1" applyFill="1" applyAlignment="1" applyProtection="1"/>
    <xf numFmtId="0" fontId="28" fillId="4" borderId="0" xfId="0" applyNumberFormat="1" applyFont="1" applyFill="1" applyProtection="1"/>
    <xf numFmtId="0" fontId="26" fillId="4" borderId="0" xfId="0" applyNumberFormat="1" applyFont="1" applyFill="1" applyAlignment="1" applyProtection="1">
      <alignment horizontal="right"/>
    </xf>
    <xf numFmtId="0" fontId="29" fillId="4" borderId="0" xfId="0" applyFont="1" applyFill="1" applyProtection="1"/>
    <xf numFmtId="49" fontId="26" fillId="4" borderId="0" xfId="0" applyNumberFormat="1" applyFont="1" applyFill="1" applyBorder="1" applyAlignment="1" applyProtection="1">
      <alignment horizontal="left"/>
    </xf>
    <xf numFmtId="0" fontId="29" fillId="4" borderId="0" xfId="0" applyFont="1" applyFill="1" applyBorder="1" applyAlignment="1" applyProtection="1"/>
    <xf numFmtId="0" fontId="28" fillId="4" borderId="0" xfId="0" applyFont="1" applyFill="1" applyBorder="1" applyAlignment="1" applyProtection="1"/>
    <xf numFmtId="0" fontId="28" fillId="4" borderId="0" xfId="0" applyNumberFormat="1" applyFont="1" applyFill="1" applyBorder="1" applyAlignment="1" applyProtection="1"/>
    <xf numFmtId="49" fontId="29" fillId="4" borderId="14" xfId="0" applyNumberFormat="1" applyFont="1" applyFill="1" applyBorder="1" applyAlignment="1" applyProtection="1">
      <alignment horizontal="left"/>
    </xf>
    <xf numFmtId="0" fontId="29" fillId="4" borderId="4" xfId="0" applyFont="1" applyFill="1" applyBorder="1" applyProtection="1"/>
    <xf numFmtId="0" fontId="28" fillId="4" borderId="4" xfId="0" applyFont="1" applyFill="1" applyBorder="1" applyProtection="1"/>
    <xf numFmtId="0" fontId="27" fillId="4" borderId="5" xfId="0" applyNumberFormat="1" applyFont="1" applyFill="1" applyBorder="1" applyAlignment="1" applyProtection="1"/>
    <xf numFmtId="0" fontId="27" fillId="4" borderId="6" xfId="0" applyNumberFormat="1" applyFont="1" applyFill="1" applyBorder="1" applyAlignment="1" applyProtection="1"/>
    <xf numFmtId="0" fontId="27" fillId="4" borderId="6" xfId="0" applyNumberFormat="1" applyFont="1" applyFill="1" applyBorder="1" applyAlignment="1" applyProtection="1">
      <alignment horizontal="left"/>
    </xf>
    <xf numFmtId="0" fontId="27" fillId="4" borderId="7" xfId="0" applyNumberFormat="1" applyFont="1" applyFill="1" applyBorder="1" applyAlignment="1" applyProtection="1"/>
    <xf numFmtId="0" fontId="28" fillId="4" borderId="0" xfId="0" applyFont="1" applyFill="1" applyProtection="1"/>
    <xf numFmtId="0" fontId="28" fillId="4" borderId="0" xfId="0" applyFont="1" applyFill="1" applyBorder="1" applyProtection="1"/>
    <xf numFmtId="0" fontId="28" fillId="4" borderId="2" xfId="0" applyNumberFormat="1" applyFont="1" applyFill="1" applyBorder="1" applyAlignment="1" applyProtection="1">
      <alignment horizontal="center" vertical="center" wrapText="1"/>
    </xf>
    <xf numFmtId="0" fontId="28" fillId="4" borderId="8" xfId="0" applyNumberFormat="1" applyFont="1" applyFill="1" applyBorder="1" applyAlignment="1" applyProtection="1">
      <alignment horizontal="center" vertical="center" wrapText="1"/>
    </xf>
    <xf numFmtId="0" fontId="28" fillId="4" borderId="0" xfId="0" applyNumberFormat="1" applyFont="1" applyFill="1" applyBorder="1" applyAlignment="1" applyProtection="1">
      <alignment horizontal="center" vertical="center" wrapText="1"/>
    </xf>
    <xf numFmtId="49" fontId="28" fillId="4" borderId="10" xfId="0" applyNumberFormat="1" applyFont="1" applyFill="1" applyBorder="1" applyAlignment="1" applyProtection="1">
      <alignment horizontal="left"/>
    </xf>
    <xf numFmtId="0" fontId="28" fillId="4" borderId="9" xfId="0" applyFont="1" applyFill="1" applyBorder="1" applyProtection="1"/>
    <xf numFmtId="0" fontId="28" fillId="4" borderId="10" xfId="0" applyNumberFormat="1" applyFont="1" applyFill="1" applyBorder="1" applyAlignment="1" applyProtection="1">
      <alignment horizontal="center"/>
    </xf>
    <xf numFmtId="0" fontId="28" fillId="4" borderId="11" xfId="0" applyNumberFormat="1" applyFont="1" applyFill="1" applyBorder="1" applyAlignment="1" applyProtection="1">
      <alignment horizontal="center"/>
    </xf>
    <xf numFmtId="0" fontId="28" fillId="4" borderId="9" xfId="0" applyNumberFormat="1" applyFont="1" applyFill="1" applyBorder="1" applyAlignment="1" applyProtection="1">
      <alignment horizontal="center"/>
    </xf>
    <xf numFmtId="0" fontId="28" fillId="4" borderId="12" xfId="0" applyNumberFormat="1" applyFont="1" applyFill="1" applyBorder="1" applyAlignment="1" applyProtection="1">
      <alignment horizontal="center"/>
    </xf>
    <xf numFmtId="0" fontId="27" fillId="4" borderId="0" xfId="0" applyFont="1" applyFill="1" applyBorder="1" applyAlignment="1" applyProtection="1">
      <alignment horizontal="left" vertical="center"/>
    </xf>
    <xf numFmtId="167" fontId="28" fillId="4" borderId="8" xfId="0" applyNumberFormat="1" applyFont="1" applyFill="1" applyBorder="1" applyAlignment="1" applyProtection="1">
      <alignment horizontal="right"/>
    </xf>
    <xf numFmtId="167" fontId="28" fillId="4" borderId="0" xfId="0" applyNumberFormat="1" applyFont="1" applyFill="1" applyBorder="1" applyAlignment="1" applyProtection="1">
      <alignment horizontal="right"/>
    </xf>
    <xf numFmtId="167" fontId="28" fillId="4" borderId="16" xfId="0" applyNumberFormat="1" applyFont="1" applyFill="1" applyBorder="1" applyAlignment="1" applyProtection="1">
      <alignment horizontal="right"/>
    </xf>
    <xf numFmtId="0" fontId="29" fillId="4" borderId="0" xfId="0" applyFont="1" applyFill="1" applyAlignment="1" applyProtection="1">
      <alignment horizontal="right"/>
    </xf>
    <xf numFmtId="49" fontId="27" fillId="4" borderId="2" xfId="0" applyNumberFormat="1" applyFont="1" applyFill="1" applyBorder="1" applyAlignment="1" applyProtection="1">
      <alignment horizontal="left"/>
    </xf>
    <xf numFmtId="0" fontId="27" fillId="4" borderId="0" xfId="0" applyFont="1" applyFill="1" applyBorder="1" applyProtection="1"/>
    <xf numFmtId="49" fontId="28" fillId="4" borderId="2" xfId="0" applyNumberFormat="1" applyFont="1" applyFill="1" applyBorder="1" applyAlignment="1" applyProtection="1">
      <alignment horizontal="left"/>
    </xf>
    <xf numFmtId="0" fontId="28" fillId="4" borderId="0" xfId="0" applyFont="1" applyFill="1" applyBorder="1" applyAlignment="1" applyProtection="1">
      <alignment horizontal="left" indent="1"/>
    </xf>
    <xf numFmtId="49" fontId="28" fillId="4" borderId="31" xfId="0" applyNumberFormat="1" applyFont="1" applyFill="1" applyBorder="1" applyAlignment="1" applyProtection="1">
      <alignment horizontal="left"/>
    </xf>
    <xf numFmtId="0" fontId="28" fillId="4" borderId="1" xfId="0" applyFont="1" applyFill="1" applyBorder="1" applyAlignment="1" applyProtection="1">
      <alignment horizontal="left" indent="1"/>
    </xf>
    <xf numFmtId="0" fontId="28" fillId="4" borderId="1" xfId="0" applyFont="1" applyFill="1" applyBorder="1" applyProtection="1"/>
    <xf numFmtId="49" fontId="53" fillId="4" borderId="2" xfId="0" applyNumberFormat="1" applyFont="1" applyFill="1" applyBorder="1" applyAlignment="1" applyProtection="1">
      <alignment horizontal="left"/>
    </xf>
    <xf numFmtId="0" fontId="53" fillId="4" borderId="0" xfId="0" applyFont="1" applyFill="1" applyBorder="1" applyProtection="1"/>
    <xf numFmtId="49" fontId="53" fillId="4" borderId="36" xfId="0" applyNumberFormat="1" applyFont="1" applyFill="1" applyBorder="1" applyAlignment="1" applyProtection="1">
      <alignment horizontal="left"/>
    </xf>
    <xf numFmtId="0" fontId="53" fillId="4" borderId="61" xfId="0" applyFont="1" applyFill="1" applyBorder="1" applyProtection="1"/>
    <xf numFmtId="0" fontId="28" fillId="4" borderId="61" xfId="0" applyFont="1" applyFill="1" applyBorder="1" applyProtection="1"/>
    <xf numFmtId="49" fontId="53" fillId="4" borderId="31" xfId="0" applyNumberFormat="1" applyFont="1" applyFill="1" applyBorder="1" applyAlignment="1" applyProtection="1">
      <alignment horizontal="left"/>
    </xf>
    <xf numFmtId="0" fontId="53" fillId="4" borderId="1" xfId="0" applyFont="1" applyFill="1" applyBorder="1" applyAlignment="1" applyProtection="1"/>
    <xf numFmtId="0" fontId="53" fillId="4" borderId="1" xfId="0" applyFont="1" applyFill="1" applyBorder="1" applyProtection="1"/>
    <xf numFmtId="0" fontId="27" fillId="4" borderId="57" xfId="0" applyFont="1" applyFill="1" applyBorder="1" applyAlignment="1" applyProtection="1">
      <alignment vertical="center"/>
    </xf>
    <xf numFmtId="0" fontId="28" fillId="4" borderId="9" xfId="0" applyFont="1" applyFill="1" applyBorder="1" applyAlignment="1" applyProtection="1">
      <alignment horizontal="left" indent="1"/>
    </xf>
    <xf numFmtId="49" fontId="28" fillId="4" borderId="5" xfId="0" applyNumberFormat="1" applyFont="1" applyFill="1" applyBorder="1" applyAlignment="1" applyProtection="1"/>
    <xf numFmtId="0" fontId="28" fillId="4" borderId="6" xfId="0" applyFont="1" applyFill="1" applyBorder="1" applyAlignment="1" applyProtection="1"/>
    <xf numFmtId="0" fontId="28" fillId="4" borderId="6" xfId="0" applyFont="1" applyFill="1" applyBorder="1" applyProtection="1"/>
    <xf numFmtId="49" fontId="72" fillId="4" borderId="2" xfId="0" applyNumberFormat="1" applyFont="1" applyFill="1" applyBorder="1" applyAlignment="1" applyProtection="1">
      <alignment horizontal="left"/>
    </xf>
    <xf numFmtId="0" fontId="27" fillId="4" borderId="0" xfId="0" applyFont="1" applyFill="1" applyBorder="1" applyAlignment="1" applyProtection="1">
      <alignment horizontal="left"/>
    </xf>
    <xf numFmtId="49" fontId="49" fillId="4" borderId="0" xfId="0" applyNumberFormat="1" applyFont="1" applyFill="1" applyProtection="1"/>
    <xf numFmtId="0" fontId="49" fillId="4" borderId="0" xfId="0" applyFont="1" applyFill="1" applyProtection="1"/>
    <xf numFmtId="0" fontId="49" fillId="4" borderId="0" xfId="0" applyFont="1" applyFill="1" applyAlignment="1" applyProtection="1">
      <alignment horizontal="right"/>
    </xf>
    <xf numFmtId="0" fontId="26" fillId="4" borderId="2" xfId="0" applyFont="1" applyFill="1" applyBorder="1" applyAlignment="1" applyProtection="1">
      <alignment horizontal="left" vertical="center" wrapText="1" indent="1"/>
    </xf>
    <xf numFmtId="0" fontId="26" fillId="4" borderId="0" xfId="0" applyFont="1" applyFill="1" applyBorder="1" applyAlignment="1" applyProtection="1">
      <alignment horizontal="left" vertical="center" wrapText="1" indent="1"/>
    </xf>
    <xf numFmtId="0" fontId="28" fillId="4" borderId="16" xfId="0" applyNumberFormat="1" applyFont="1" applyFill="1" applyBorder="1" applyAlignment="1" applyProtection="1">
      <alignment horizontal="center" vertical="center" wrapText="1"/>
    </xf>
    <xf numFmtId="0" fontId="32" fillId="4" borderId="0" xfId="0" applyFont="1" applyFill="1" applyBorder="1" applyProtection="1"/>
    <xf numFmtId="0" fontId="32" fillId="4" borderId="1" xfId="0" applyFont="1" applyFill="1" applyBorder="1" applyProtection="1"/>
    <xf numFmtId="0" fontId="32" fillId="4" borderId="61" xfId="0" applyFont="1" applyFill="1" applyBorder="1" applyProtection="1"/>
    <xf numFmtId="0" fontId="32" fillId="4" borderId="6" xfId="0" applyFont="1" applyFill="1" applyBorder="1" applyProtection="1"/>
    <xf numFmtId="0" fontId="32" fillId="4" borderId="9" xfId="0" applyFont="1" applyFill="1" applyBorder="1" applyProtection="1"/>
    <xf numFmtId="49" fontId="28" fillId="4" borderId="0" xfId="0" applyNumberFormat="1" applyFont="1" applyFill="1" applyProtection="1"/>
    <xf numFmtId="0" fontId="28" fillId="4" borderId="0" xfId="0" applyFont="1" applyFill="1" applyAlignment="1" applyProtection="1">
      <alignment horizontal="right"/>
    </xf>
    <xf numFmtId="0" fontId="29" fillId="4" borderId="0" xfId="0" applyFont="1" applyFill="1" applyAlignment="1" applyProtection="1"/>
    <xf numFmtId="0" fontId="28" fillId="4" borderId="0" xfId="0" applyFont="1" applyFill="1" applyAlignment="1" applyProtection="1"/>
    <xf numFmtId="0" fontId="28" fillId="4" borderId="1" xfId="0" applyFont="1" applyFill="1" applyBorder="1" applyAlignment="1" applyProtection="1">
      <alignment horizontal="left"/>
    </xf>
    <xf numFmtId="0" fontId="27" fillId="4" borderId="59" xfId="0" applyFont="1" applyFill="1" applyBorder="1" applyAlignment="1" applyProtection="1">
      <alignment horizontal="left"/>
    </xf>
    <xf numFmtId="0" fontId="28" fillId="4" borderId="59" xfId="0" applyFont="1" applyFill="1" applyBorder="1" applyProtection="1"/>
    <xf numFmtId="49" fontId="63" fillId="4" borderId="2" xfId="0" applyNumberFormat="1" applyFont="1" applyFill="1" applyBorder="1" applyAlignment="1" applyProtection="1">
      <alignment horizontal="left"/>
    </xf>
    <xf numFmtId="0" fontId="28" fillId="4" borderId="9" xfId="0" applyFont="1" applyFill="1" applyBorder="1" applyAlignment="1" applyProtection="1">
      <alignment horizontal="left"/>
    </xf>
    <xf numFmtId="0" fontId="28" fillId="4" borderId="0" xfId="0" applyNumberFormat="1" applyFont="1" applyFill="1" applyAlignment="1" applyProtection="1"/>
    <xf numFmtId="49" fontId="82" fillId="4" borderId="25" xfId="0" applyNumberFormat="1" applyFont="1" applyFill="1" applyBorder="1" applyAlignment="1" applyProtection="1">
      <alignment horizontal="left"/>
    </xf>
    <xf numFmtId="49" fontId="82" fillId="4" borderId="2" xfId="0" applyNumberFormat="1" applyFont="1" applyFill="1" applyBorder="1" applyAlignment="1" applyProtection="1">
      <alignment horizontal="left"/>
    </xf>
    <xf numFmtId="49" fontId="74" fillId="4" borderId="2" xfId="0" applyNumberFormat="1" applyFont="1" applyFill="1" applyBorder="1" applyAlignment="1" applyProtection="1">
      <alignment horizontal="left"/>
    </xf>
    <xf numFmtId="49" fontId="74" fillId="4" borderId="58" xfId="0" applyNumberFormat="1" applyFont="1" applyFill="1" applyBorder="1" applyAlignment="1" applyProtection="1">
      <alignment vertical="top" wrapText="1"/>
    </xf>
    <xf numFmtId="49" fontId="27" fillId="4" borderId="25" xfId="0" applyNumberFormat="1" applyFont="1" applyFill="1" applyBorder="1" applyAlignment="1" applyProtection="1">
      <alignment horizontal="left"/>
    </xf>
    <xf numFmtId="0" fontId="27" fillId="4" borderId="59" xfId="0" applyFont="1" applyFill="1" applyBorder="1" applyProtection="1"/>
    <xf numFmtId="0" fontId="27" fillId="4" borderId="0" xfId="0" applyFont="1" applyFill="1" applyBorder="1" applyAlignment="1" applyProtection="1">
      <alignment horizontal="left" wrapText="1"/>
    </xf>
    <xf numFmtId="49" fontId="53" fillId="4" borderId="5" xfId="0" applyNumberFormat="1" applyFont="1" applyFill="1" applyBorder="1" applyAlignment="1" applyProtection="1">
      <alignment horizontal="left"/>
    </xf>
    <xf numFmtId="0" fontId="53" fillId="4" borderId="6" xfId="0" applyFont="1" applyFill="1" applyBorder="1" applyProtection="1"/>
    <xf numFmtId="49" fontId="27" fillId="4" borderId="31" xfId="0" applyNumberFormat="1" applyFont="1" applyFill="1" applyBorder="1" applyAlignment="1" applyProtection="1">
      <alignment horizontal="left"/>
    </xf>
    <xf numFmtId="0" fontId="27" fillId="4" borderId="1" xfId="0" applyFont="1" applyFill="1" applyBorder="1" applyProtection="1"/>
    <xf numFmtId="0" fontId="27" fillId="4" borderId="0" xfId="0" applyFont="1" applyFill="1" applyBorder="1" applyAlignment="1" applyProtection="1">
      <alignment horizontal="left" indent="1"/>
    </xf>
    <xf numFmtId="0" fontId="28" fillId="4" borderId="0" xfId="0" applyFont="1" applyFill="1" applyBorder="1" applyAlignment="1" applyProtection="1">
      <alignment horizontal="left" indent="2"/>
    </xf>
    <xf numFmtId="0" fontId="28" fillId="4" borderId="0" xfId="0" applyFont="1" applyFill="1" applyBorder="1" applyAlignment="1" applyProtection="1">
      <alignment horizontal="left" indent="3"/>
    </xf>
    <xf numFmtId="0" fontId="27" fillId="4" borderId="1" xfId="0" applyFont="1" applyFill="1" applyBorder="1" applyAlignment="1" applyProtection="1">
      <alignment horizontal="left" indent="1"/>
    </xf>
    <xf numFmtId="0" fontId="28" fillId="4" borderId="1" xfId="0" applyFont="1" applyFill="1" applyBorder="1" applyAlignment="1" applyProtection="1">
      <alignment horizontal="left" indent="2"/>
    </xf>
    <xf numFmtId="0" fontId="27" fillId="4" borderId="0" xfId="0" applyFont="1" applyFill="1" applyBorder="1" applyAlignment="1" applyProtection="1">
      <alignment horizontal="left" wrapText="1" indent="1"/>
    </xf>
    <xf numFmtId="0" fontId="3" fillId="4" borderId="0" xfId="0" applyFont="1" applyFill="1" applyBorder="1" applyAlignment="1" applyProtection="1">
      <alignment horizontal="left" indent="3"/>
    </xf>
    <xf numFmtId="0" fontId="28" fillId="4" borderId="9" xfId="0" applyFont="1" applyFill="1" applyBorder="1" applyAlignment="1" applyProtection="1">
      <alignment horizontal="left" indent="2"/>
    </xf>
    <xf numFmtId="49" fontId="63" fillId="4" borderId="25" xfId="0" applyNumberFormat="1" applyFont="1" applyFill="1" applyBorder="1" applyAlignment="1" applyProtection="1">
      <alignment horizontal="left"/>
    </xf>
    <xf numFmtId="0" fontId="48" fillId="4" borderId="0" xfId="0" applyFont="1" applyFill="1" applyBorder="1" applyAlignment="1" applyProtection="1">
      <alignment horizontal="left"/>
    </xf>
    <xf numFmtId="0" fontId="28" fillId="4" borderId="16" xfId="0" applyFont="1" applyFill="1" applyBorder="1" applyProtection="1"/>
    <xf numFmtId="0" fontId="28" fillId="4" borderId="0" xfId="0" applyFont="1" applyFill="1" applyBorder="1" applyAlignment="1" applyProtection="1">
      <alignment horizontal="left"/>
    </xf>
    <xf numFmtId="49" fontId="3" fillId="4" borderId="0" xfId="0" applyNumberFormat="1" applyFont="1" applyFill="1" applyProtection="1"/>
    <xf numFmtId="0" fontId="3" fillId="4" borderId="0" xfId="0" applyFont="1" applyFill="1" applyProtection="1"/>
    <xf numFmtId="0" fontId="29" fillId="4" borderId="0" xfId="0" applyFont="1" applyFill="1" applyBorder="1" applyAlignment="1" applyProtection="1">
      <alignment horizontal="right"/>
    </xf>
    <xf numFmtId="0" fontId="0" fillId="4" borderId="0" xfId="0" applyFill="1" applyAlignment="1" applyProtection="1">
      <alignment horizontal="right"/>
    </xf>
    <xf numFmtId="167" fontId="69" fillId="4" borderId="8" xfId="0" applyNumberFormat="1" applyFont="1" applyFill="1" applyBorder="1" applyAlignment="1" applyProtection="1">
      <alignment horizontal="right"/>
      <protection locked="0"/>
    </xf>
    <xf numFmtId="49" fontId="26" fillId="4" borderId="2" xfId="0" applyNumberFormat="1" applyFont="1" applyFill="1" applyBorder="1" applyAlignment="1" applyProtection="1">
      <alignment horizontal="left" vertical="center" wrapText="1" indent="1"/>
    </xf>
    <xf numFmtId="49" fontId="26" fillId="4" borderId="0" xfId="0" applyNumberFormat="1" applyFont="1" applyFill="1" applyBorder="1" applyAlignment="1" applyProtection="1">
      <alignment horizontal="left" vertical="center" wrapText="1" indent="1"/>
    </xf>
    <xf numFmtId="49" fontId="27" fillId="4" borderId="36" xfId="0" applyNumberFormat="1" applyFont="1" applyFill="1" applyBorder="1" applyAlignment="1" applyProtection="1">
      <alignment horizontal="left"/>
    </xf>
    <xf numFmtId="0" fontId="27" fillId="4" borderId="61" xfId="0" applyFont="1" applyFill="1" applyBorder="1" applyProtection="1"/>
    <xf numFmtId="0" fontId="28" fillId="4" borderId="0" xfId="0" applyFont="1" applyFill="1" applyBorder="1" applyAlignment="1" applyProtection="1">
      <alignment horizontal="left" wrapText="1" indent="1"/>
    </xf>
    <xf numFmtId="0" fontId="28" fillId="4" borderId="12" xfId="0" applyFont="1" applyFill="1" applyBorder="1" applyProtection="1"/>
    <xf numFmtId="167" fontId="28" fillId="4" borderId="17" xfId="0" applyNumberFormat="1" applyFont="1" applyFill="1" applyBorder="1" applyAlignment="1" applyProtection="1">
      <alignment horizontal="right"/>
      <protection locked="0"/>
    </xf>
    <xf numFmtId="167" fontId="31" fillId="4" borderId="33" xfId="0" applyNumberFormat="1" applyFont="1" applyFill="1" applyBorder="1" applyAlignment="1" applyProtection="1">
      <alignment horizontal="right"/>
      <protection locked="0"/>
    </xf>
    <xf numFmtId="0" fontId="27" fillId="4" borderId="6" xfId="0" applyFont="1" applyFill="1" applyBorder="1" applyProtection="1"/>
    <xf numFmtId="49" fontId="27" fillId="4" borderId="10" xfId="0" applyNumberFormat="1" applyFont="1" applyFill="1" applyBorder="1" applyAlignment="1" applyProtection="1">
      <alignment horizontal="left"/>
    </xf>
    <xf numFmtId="0" fontId="27" fillId="4" borderId="9" xfId="0" applyFont="1" applyFill="1" applyBorder="1" applyAlignment="1" applyProtection="1">
      <alignment horizontal="left" indent="1"/>
    </xf>
    <xf numFmtId="49" fontId="28" fillId="4" borderId="58" xfId="0" applyNumberFormat="1" applyFont="1" applyFill="1" applyBorder="1" applyAlignment="1" applyProtection="1">
      <alignment horizontal="left"/>
    </xf>
    <xf numFmtId="0" fontId="28" fillId="4" borderId="57" xfId="0" applyFont="1" applyFill="1" applyBorder="1" applyProtection="1"/>
    <xf numFmtId="0" fontId="28" fillId="4" borderId="60" xfId="0" applyFont="1" applyFill="1" applyBorder="1" applyProtection="1"/>
    <xf numFmtId="0" fontId="28" fillId="4" borderId="43" xfId="0" applyFont="1" applyFill="1" applyBorder="1" applyProtection="1"/>
    <xf numFmtId="49" fontId="28" fillId="4" borderId="36" xfId="0" applyNumberFormat="1" applyFont="1" applyFill="1" applyBorder="1" applyAlignment="1" applyProtection="1">
      <alignment horizontal="left"/>
    </xf>
    <xf numFmtId="0" fontId="28" fillId="4" borderId="61" xfId="0" applyFont="1" applyFill="1" applyBorder="1" applyAlignment="1" applyProtection="1">
      <alignment horizontal="left" indent="1"/>
    </xf>
    <xf numFmtId="167" fontId="82" fillId="4" borderId="8" xfId="0" applyNumberFormat="1" applyFont="1" applyFill="1" applyBorder="1" applyAlignment="1" applyProtection="1">
      <alignment horizontal="right"/>
    </xf>
    <xf numFmtId="167" fontId="82" fillId="4" borderId="0" xfId="0" applyNumberFormat="1" applyFont="1" applyFill="1" applyBorder="1" applyAlignment="1" applyProtection="1">
      <alignment horizontal="right"/>
    </xf>
    <xf numFmtId="167" fontId="82" fillId="4" borderId="16" xfId="0" applyNumberFormat="1" applyFont="1" applyFill="1" applyBorder="1" applyAlignment="1" applyProtection="1">
      <alignment horizontal="right"/>
    </xf>
    <xf numFmtId="0" fontId="0" fillId="4" borderId="0" xfId="0" applyFill="1" applyProtection="1"/>
    <xf numFmtId="167" fontId="28" fillId="4" borderId="13" xfId="0" applyNumberFormat="1" applyFont="1" applyFill="1" applyBorder="1" applyAlignment="1" applyProtection="1">
      <alignment horizontal="right"/>
      <protection locked="0"/>
    </xf>
    <xf numFmtId="0" fontId="28" fillId="4" borderId="42" xfId="0" applyFont="1" applyFill="1" applyBorder="1" applyProtection="1"/>
    <xf numFmtId="49" fontId="28" fillId="4" borderId="2" xfId="0" quotePrefix="1" applyNumberFormat="1" applyFont="1" applyFill="1" applyBorder="1" applyAlignment="1" applyProtection="1">
      <alignment horizontal="left"/>
    </xf>
    <xf numFmtId="49" fontId="28" fillId="4" borderId="31" xfId="0" quotePrefix="1" applyNumberFormat="1" applyFont="1" applyFill="1" applyBorder="1" applyAlignment="1" applyProtection="1">
      <alignment horizontal="left"/>
    </xf>
    <xf numFmtId="49" fontId="28" fillId="4" borderId="10" xfId="0" quotePrefix="1" applyNumberFormat="1" applyFont="1" applyFill="1" applyBorder="1" applyAlignment="1" applyProtection="1">
      <alignment horizontal="left"/>
    </xf>
    <xf numFmtId="49" fontId="48" fillId="4" borderId="2" xfId="0" quotePrefix="1" applyNumberFormat="1" applyFont="1" applyFill="1" applyBorder="1" applyAlignment="1" applyProtection="1">
      <alignment horizontal="left"/>
    </xf>
    <xf numFmtId="0" fontId="48" fillId="4" borderId="0" xfId="0" applyFont="1" applyFill="1" applyBorder="1" applyAlignment="1" applyProtection="1">
      <alignment horizontal="left" indent="2"/>
    </xf>
    <xf numFmtId="0" fontId="48" fillId="4" borderId="0" xfId="0" applyFont="1" applyFill="1" applyBorder="1" applyProtection="1"/>
    <xf numFmtId="0" fontId="48" fillId="4" borderId="16" xfId="0" applyFont="1" applyFill="1" applyBorder="1" applyProtection="1"/>
    <xf numFmtId="0" fontId="3" fillId="4" borderId="0" xfId="0" applyFont="1" applyFill="1" applyAlignment="1" applyProtection="1">
      <alignment horizontal="right"/>
    </xf>
    <xf numFmtId="0" fontId="28" fillId="4" borderId="1" xfId="0" applyFont="1" applyFill="1" applyBorder="1" applyAlignment="1" applyProtection="1">
      <alignment horizontal="left" vertical="top" indent="2"/>
    </xf>
    <xf numFmtId="0" fontId="28" fillId="4" borderId="0" xfId="0" applyFont="1" applyFill="1" applyBorder="1" applyAlignment="1" applyProtection="1">
      <alignment horizontal="left" indent="4"/>
    </xf>
    <xf numFmtId="0" fontId="28" fillId="4" borderId="0" xfId="0" applyFont="1" applyFill="1" applyBorder="1" applyAlignment="1" applyProtection="1">
      <alignment horizontal="right"/>
    </xf>
    <xf numFmtId="167" fontId="82" fillId="4" borderId="8" xfId="0" applyNumberFormat="1" applyFont="1" applyFill="1" applyBorder="1" applyAlignment="1" applyProtection="1">
      <alignment horizontal="right"/>
      <protection locked="0"/>
    </xf>
    <xf numFmtId="0" fontId="60" fillId="11" borderId="14" xfId="0" applyFont="1" applyFill="1" applyBorder="1" applyAlignment="1" applyProtection="1">
      <alignment horizontal="centerContinuous"/>
    </xf>
    <xf numFmtId="0" fontId="60" fillId="11" borderId="35" xfId="0" applyFont="1" applyFill="1" applyBorder="1" applyAlignment="1" applyProtection="1">
      <alignment horizontal="centerContinuous"/>
    </xf>
    <xf numFmtId="0" fontId="60" fillId="11" borderId="10" xfId="0" applyFont="1" applyFill="1" applyBorder="1" applyAlignment="1" applyProtection="1">
      <alignment horizontal="centerContinuous"/>
    </xf>
    <xf numFmtId="0" fontId="60" fillId="11" borderId="12" xfId="0" applyFont="1" applyFill="1" applyBorder="1" applyAlignment="1" applyProtection="1">
      <alignment horizontal="centerContinuous"/>
    </xf>
    <xf numFmtId="0" fontId="28" fillId="4" borderId="8" xfId="0" applyNumberFormat="1" applyFont="1" applyFill="1" applyBorder="1" applyAlignment="1" applyProtection="1">
      <alignment horizontal="center" vertical="center" wrapText="1"/>
    </xf>
    <xf numFmtId="0" fontId="28" fillId="4" borderId="0" xfId="0" applyNumberFormat="1" applyFont="1" applyFill="1" applyBorder="1" applyAlignment="1" applyProtection="1">
      <alignment horizontal="center" vertical="center" wrapText="1"/>
    </xf>
    <xf numFmtId="0" fontId="26" fillId="4" borderId="2" xfId="0" applyFont="1" applyFill="1" applyBorder="1" applyAlignment="1" applyProtection="1">
      <alignment horizontal="left" vertical="center" wrapText="1" indent="1"/>
    </xf>
    <xf numFmtId="0" fontId="26" fillId="4" borderId="0" xfId="0" applyFont="1" applyFill="1" applyBorder="1" applyAlignment="1" applyProtection="1">
      <alignment horizontal="left" vertical="center" wrapText="1" indent="1"/>
    </xf>
    <xf numFmtId="0" fontId="26" fillId="4" borderId="0" xfId="0" applyNumberFormat="1" applyFont="1" applyFill="1" applyAlignment="1" applyProtection="1">
      <alignment horizontal="right"/>
    </xf>
    <xf numFmtId="0" fontId="28" fillId="4" borderId="16" xfId="0" applyNumberFormat="1" applyFont="1" applyFill="1" applyBorder="1" applyAlignment="1" applyProtection="1">
      <alignment horizontal="center" vertical="center" wrapText="1"/>
    </xf>
    <xf numFmtId="49" fontId="29" fillId="0" borderId="14" xfId="0" applyNumberFormat="1" applyFont="1" applyBorder="1" applyAlignment="1" applyProtection="1">
      <alignment horizontal="left"/>
    </xf>
    <xf numFmtId="0" fontId="27" fillId="0" borderId="5" xfId="0" applyNumberFormat="1" applyFont="1" applyBorder="1" applyAlignment="1" applyProtection="1"/>
    <xf numFmtId="0" fontId="27" fillId="0" borderId="6" xfId="0" applyNumberFormat="1" applyFont="1" applyBorder="1" applyAlignment="1" applyProtection="1"/>
    <xf numFmtId="0" fontId="27" fillId="0" borderId="6" xfId="0" applyNumberFormat="1" applyFont="1" applyBorder="1" applyAlignment="1" applyProtection="1">
      <alignment horizontal="left"/>
    </xf>
    <xf numFmtId="0" fontId="27" fillId="0" borderId="7" xfId="0" applyNumberFormat="1" applyFont="1" applyBorder="1" applyAlignment="1" applyProtection="1"/>
    <xf numFmtId="0" fontId="28" fillId="0" borderId="2" xfId="7" applyFont="1" applyBorder="1" applyAlignment="1" applyProtection="1">
      <alignment horizontal="center" wrapText="1"/>
      <protection locked="0"/>
    </xf>
    <xf numFmtId="0" fontId="28" fillId="0" borderId="3" xfId="7" applyFont="1" applyBorder="1" applyAlignment="1" applyProtection="1">
      <alignment horizontal="center" wrapText="1"/>
      <protection locked="0"/>
    </xf>
    <xf numFmtId="0" fontId="28" fillId="0" borderId="10" xfId="0" applyNumberFormat="1" applyFont="1" applyBorder="1" applyAlignment="1" applyProtection="1">
      <alignment horizontal="center"/>
    </xf>
    <xf numFmtId="0" fontId="28" fillId="0" borderId="11" xfId="0" applyNumberFormat="1" applyFont="1" applyBorder="1" applyAlignment="1" applyProtection="1">
      <alignment horizontal="center"/>
    </xf>
    <xf numFmtId="0" fontId="28" fillId="0" borderId="9" xfId="0" applyNumberFormat="1" applyFont="1" applyBorder="1" applyAlignment="1" applyProtection="1">
      <alignment horizontal="center"/>
    </xf>
    <xf numFmtId="0" fontId="28" fillId="0" borderId="12" xfId="0" applyNumberFormat="1" applyFont="1" applyBorder="1" applyAlignment="1" applyProtection="1">
      <alignment horizontal="center"/>
    </xf>
    <xf numFmtId="0" fontId="28" fillId="0" borderId="10" xfId="7" quotePrefix="1" applyFont="1" applyBorder="1" applyAlignment="1" applyProtection="1">
      <alignment horizontal="center"/>
      <protection locked="0"/>
    </xf>
    <xf numFmtId="0" fontId="28" fillId="0" borderId="23" xfId="7" quotePrefix="1" applyFont="1" applyBorder="1" applyAlignment="1" applyProtection="1">
      <alignment horizontal="center"/>
      <protection locked="0"/>
    </xf>
    <xf numFmtId="169" fontId="67" fillId="12" borderId="0" xfId="0" quotePrefix="1" applyNumberFormat="1" applyFont="1" applyFill="1"/>
    <xf numFmtId="0" fontId="81" fillId="4" borderId="0" xfId="0" applyFont="1" applyFill="1" applyBorder="1" applyAlignment="1">
      <alignment vertical="center"/>
    </xf>
    <xf numFmtId="167" fontId="69" fillId="10" borderId="11" xfId="0" applyNumberFormat="1" applyFont="1" applyFill="1" applyBorder="1" applyAlignment="1" applyProtection="1">
      <alignment horizontal="right"/>
    </xf>
    <xf numFmtId="167" fontId="31" fillId="10" borderId="18" xfId="0" applyNumberFormat="1" applyFont="1" applyFill="1" applyBorder="1" applyAlignment="1" applyProtection="1">
      <alignment horizontal="right"/>
    </xf>
    <xf numFmtId="167" fontId="28" fillId="10" borderId="18" xfId="0" applyNumberFormat="1" applyFont="1" applyFill="1" applyBorder="1" applyAlignment="1" applyProtection="1">
      <alignment horizontal="right"/>
    </xf>
    <xf numFmtId="167" fontId="28" fillId="4" borderId="36" xfId="0" applyNumberFormat="1" applyFont="1" applyFill="1" applyBorder="1" applyAlignment="1" applyProtection="1">
      <alignment horizontal="right"/>
    </xf>
    <xf numFmtId="167" fontId="28" fillId="4" borderId="61" xfId="0" applyNumberFormat="1" applyFont="1" applyFill="1" applyBorder="1" applyAlignment="1" applyProtection="1">
      <alignment horizontal="right"/>
    </xf>
    <xf numFmtId="167" fontId="28" fillId="4" borderId="71" xfId="0" applyNumberFormat="1" applyFont="1" applyFill="1" applyBorder="1" applyAlignment="1" applyProtection="1">
      <alignment horizontal="right"/>
    </xf>
    <xf numFmtId="167" fontId="69" fillId="4" borderId="17" xfId="0" applyNumberFormat="1" applyFont="1" applyFill="1" applyBorder="1" applyAlignment="1" applyProtection="1">
      <alignment horizontal="right"/>
      <protection locked="0"/>
    </xf>
    <xf numFmtId="167" fontId="28" fillId="10" borderId="57" xfId="0" applyNumberFormat="1" applyFont="1" applyFill="1" applyBorder="1" applyAlignment="1" applyProtection="1">
      <alignment horizontal="right"/>
    </xf>
    <xf numFmtId="167" fontId="28" fillId="10" borderId="60" xfId="0" applyNumberFormat="1" applyFont="1" applyFill="1" applyBorder="1" applyAlignment="1" applyProtection="1">
      <alignment horizontal="right"/>
    </xf>
    <xf numFmtId="167" fontId="28" fillId="4" borderId="2" xfId="0" applyNumberFormat="1" applyFont="1" applyFill="1" applyBorder="1" applyAlignment="1" applyProtection="1">
      <alignment horizontal="right"/>
    </xf>
    <xf numFmtId="167" fontId="31" fillId="4" borderId="14" xfId="0" applyNumberFormat="1" applyFont="1" applyFill="1" applyBorder="1" applyAlignment="1" applyProtection="1">
      <alignment horizontal="right"/>
    </xf>
    <xf numFmtId="167" fontId="31" fillId="4" borderId="4" xfId="0" applyNumberFormat="1" applyFont="1" applyFill="1" applyBorder="1" applyAlignment="1" applyProtection="1">
      <alignment horizontal="right"/>
    </xf>
    <xf numFmtId="167" fontId="31" fillId="4" borderId="35" xfId="0" applyNumberFormat="1" applyFont="1" applyFill="1" applyBorder="1" applyAlignment="1" applyProtection="1">
      <alignment horizontal="right"/>
    </xf>
    <xf numFmtId="0" fontId="28" fillId="0" borderId="2" xfId="0" applyNumberFormat="1" applyFont="1" applyBorder="1" applyAlignment="1" applyProtection="1">
      <alignment horizontal="center" vertical="center" wrapText="1"/>
    </xf>
    <xf numFmtId="0" fontId="28" fillId="0" borderId="8" xfId="0" applyNumberFormat="1" applyFont="1" applyBorder="1" applyAlignment="1" applyProtection="1">
      <alignment horizontal="center" vertical="center" wrapText="1"/>
    </xf>
    <xf numFmtId="0" fontId="28" fillId="0" borderId="0" xfId="0" applyNumberFormat="1" applyFont="1" applyBorder="1" applyAlignment="1" applyProtection="1">
      <alignment horizontal="center" vertical="center" wrapText="1"/>
    </xf>
    <xf numFmtId="0" fontId="60" fillId="3" borderId="14" xfId="7" applyFont="1" applyFill="1" applyBorder="1" applyAlignment="1" applyProtection="1">
      <alignment horizontal="centerContinuous"/>
      <protection locked="0"/>
    </xf>
    <xf numFmtId="0" fontId="60" fillId="3" borderId="10" xfId="7" applyFont="1" applyFill="1" applyBorder="1" applyAlignment="1" applyProtection="1">
      <alignment horizontal="centerContinuous"/>
      <protection locked="0"/>
    </xf>
    <xf numFmtId="49" fontId="54" fillId="0" borderId="6" xfId="7" applyNumberFormat="1" applyFont="1" applyBorder="1" applyAlignment="1" applyProtection="1">
      <alignment vertical="center"/>
      <protection locked="0"/>
    </xf>
    <xf numFmtId="49" fontId="27" fillId="0" borderId="0" xfId="7" applyNumberFormat="1" applyFont="1"/>
    <xf numFmtId="0" fontId="48" fillId="0" borderId="0" xfId="7" applyFont="1"/>
    <xf numFmtId="49" fontId="26" fillId="0" borderId="0" xfId="0" applyNumberFormat="1" applyFont="1" applyBorder="1" applyAlignment="1" applyProtection="1">
      <alignment horizontal="left"/>
    </xf>
    <xf numFmtId="0" fontId="27" fillId="4" borderId="0" xfId="7" applyFont="1" applyFill="1" applyBorder="1" applyAlignment="1" applyProtection="1">
      <alignment horizontal="left"/>
    </xf>
    <xf numFmtId="0" fontId="27" fillId="4" borderId="0" xfId="7" applyFont="1" applyFill="1" applyBorder="1" applyProtection="1"/>
    <xf numFmtId="0" fontId="28" fillId="4" borderId="0" xfId="7" applyFont="1" applyFill="1" applyBorder="1" applyAlignment="1" applyProtection="1">
      <alignment horizontal="left" indent="1"/>
    </xf>
    <xf numFmtId="0" fontId="28" fillId="4" borderId="1" xfId="7" applyFont="1" applyFill="1" applyBorder="1" applyAlignment="1" applyProtection="1">
      <alignment horizontal="left" indent="1"/>
    </xf>
    <xf numFmtId="0" fontId="53" fillId="4" borderId="61" xfId="7" applyFont="1" applyFill="1" applyBorder="1" applyProtection="1"/>
    <xf numFmtId="0" fontId="27" fillId="4" borderId="0" xfId="7" applyFont="1" applyFill="1" applyBorder="1" applyAlignment="1" applyProtection="1">
      <alignment horizontal="left" vertical="center"/>
    </xf>
    <xf numFmtId="0" fontId="53" fillId="4" borderId="1" xfId="7" applyFont="1" applyFill="1" applyBorder="1" applyProtection="1"/>
    <xf numFmtId="0" fontId="27" fillId="4" borderId="57" xfId="7" applyFont="1" applyFill="1" applyBorder="1" applyAlignment="1" applyProtection="1">
      <alignment vertical="center" wrapText="1"/>
    </xf>
    <xf numFmtId="0" fontId="28" fillId="4" borderId="0" xfId="7" applyFont="1" applyFill="1" applyBorder="1" applyProtection="1"/>
    <xf numFmtId="0" fontId="28" fillId="4" borderId="6" xfId="7" applyFont="1" applyFill="1" applyBorder="1" applyAlignment="1" applyProtection="1">
      <protection locked="0"/>
    </xf>
    <xf numFmtId="0" fontId="28" fillId="4" borderId="9" xfId="7" applyFont="1" applyFill="1" applyBorder="1" applyAlignment="1" applyProtection="1">
      <alignment horizontal="left" indent="1"/>
    </xf>
    <xf numFmtId="0" fontId="28" fillId="4" borderId="2" xfId="7" applyNumberFormat="1" applyFont="1" applyFill="1" applyBorder="1" applyAlignment="1" applyProtection="1">
      <alignment horizontal="center" vertical="center" wrapText="1"/>
    </xf>
    <xf numFmtId="0" fontId="28" fillId="4" borderId="8" xfId="7" applyNumberFormat="1" applyFont="1" applyFill="1" applyBorder="1" applyAlignment="1" applyProtection="1">
      <alignment horizontal="center" vertical="center" wrapText="1"/>
    </xf>
    <xf numFmtId="0" fontId="28" fillId="4" borderId="0" xfId="7" applyNumberFormat="1" applyFont="1" applyFill="1" applyBorder="1" applyAlignment="1" applyProtection="1">
      <alignment horizontal="center" vertical="center" wrapText="1"/>
    </xf>
    <xf numFmtId="0" fontId="28" fillId="0" borderId="0" xfId="7" applyFont="1"/>
    <xf numFmtId="0" fontId="28" fillId="0" borderId="0" xfId="7" applyFont="1" applyFill="1"/>
    <xf numFmtId="0" fontId="28" fillId="0" borderId="1" xfId="7" applyFont="1" applyFill="1" applyBorder="1"/>
    <xf numFmtId="49" fontId="54" fillId="0" borderId="6" xfId="0" applyNumberFormat="1" applyFont="1" applyBorder="1" applyAlignment="1" applyProtection="1">
      <alignment vertical="center"/>
      <protection locked="0"/>
    </xf>
    <xf numFmtId="49" fontId="27" fillId="0" borderId="0" xfId="0" applyNumberFormat="1" applyFont="1" applyFill="1" applyBorder="1" applyProtection="1">
      <protection locked="0"/>
    </xf>
    <xf numFmtId="49" fontId="27" fillId="0" borderId="0" xfId="0" applyNumberFormat="1" applyFont="1"/>
    <xf numFmtId="0" fontId="28" fillId="0" borderId="0" xfId="0" applyFont="1"/>
    <xf numFmtId="0" fontId="48" fillId="0" borderId="0" xfId="0" applyFont="1"/>
    <xf numFmtId="49" fontId="28" fillId="0" borderId="0" xfId="0" applyNumberFormat="1" applyFont="1"/>
    <xf numFmtId="0" fontId="28" fillId="0" borderId="0" xfId="0" applyFont="1" applyAlignment="1">
      <alignment horizontal="left" indent="1"/>
    </xf>
    <xf numFmtId="49" fontId="27" fillId="0" borderId="0" xfId="7" applyNumberFormat="1" applyFont="1" applyFill="1" applyProtection="1">
      <protection locked="0"/>
    </xf>
    <xf numFmtId="0" fontId="27" fillId="4" borderId="59" xfId="0" applyFont="1" applyFill="1" applyBorder="1" applyAlignment="1" applyProtection="1">
      <alignment horizontal="left" wrapText="1"/>
    </xf>
    <xf numFmtId="0" fontId="28" fillId="0" borderId="6" xfId="0" applyFont="1" applyBorder="1" applyAlignment="1" applyProtection="1">
      <alignment vertical="center"/>
      <protection locked="0"/>
    </xf>
    <xf numFmtId="0" fontId="28" fillId="0" borderId="0" xfId="7" applyFont="1" applyFill="1" applyProtection="1">
      <protection locked="0"/>
    </xf>
    <xf numFmtId="0" fontId="28" fillId="0" borderId="0" xfId="7" applyFont="1" applyFill="1" applyBorder="1" applyProtection="1">
      <protection locked="0"/>
    </xf>
    <xf numFmtId="49" fontId="28" fillId="0" borderId="0" xfId="7" applyNumberFormat="1" applyFont="1" applyFill="1" applyBorder="1" applyProtection="1">
      <protection locked="0"/>
    </xf>
    <xf numFmtId="0" fontId="28" fillId="0" borderId="1" xfId="7" applyFont="1" applyFill="1" applyBorder="1" applyProtection="1">
      <protection locked="0"/>
    </xf>
    <xf numFmtId="49" fontId="28" fillId="0" borderId="0" xfId="7" applyNumberFormat="1" applyFont="1" applyFill="1" applyProtection="1">
      <protection locked="0"/>
    </xf>
    <xf numFmtId="49" fontId="28" fillId="0" borderId="1" xfId="7" applyNumberFormat="1" applyFont="1" applyFill="1" applyBorder="1" applyProtection="1">
      <protection locked="0"/>
    </xf>
    <xf numFmtId="49" fontId="28" fillId="0" borderId="0" xfId="7" applyNumberFormat="1" applyFont="1"/>
    <xf numFmtId="0" fontId="28" fillId="0" borderId="0" xfId="7" applyFont="1" applyAlignment="1">
      <alignment horizontal="left" indent="1"/>
    </xf>
    <xf numFmtId="49" fontId="27" fillId="0" borderId="0" xfId="7" applyNumberFormat="1" applyFont="1" applyBorder="1" applyProtection="1">
      <protection locked="0"/>
    </xf>
    <xf numFmtId="0" fontId="28" fillId="4" borderId="72" xfId="0" applyFont="1" applyFill="1" applyBorder="1" applyAlignment="1">
      <alignment horizontal="left" indent="1"/>
    </xf>
    <xf numFmtId="0" fontId="48" fillId="4" borderId="61" xfId="0" applyFont="1" applyFill="1" applyBorder="1" applyAlignment="1">
      <alignment horizontal="right" vertical="top" wrapText="1"/>
    </xf>
    <xf numFmtId="0" fontId="28" fillId="4" borderId="73" xfId="0" applyFont="1" applyFill="1" applyBorder="1" applyAlignment="1">
      <alignment horizontal="left" indent="1"/>
    </xf>
    <xf numFmtId="0" fontId="48" fillId="4" borderId="62" xfId="0" applyFont="1" applyFill="1" applyBorder="1" applyAlignment="1">
      <alignment horizontal="right" vertical="top" wrapText="1"/>
    </xf>
    <xf numFmtId="0" fontId="39" fillId="4" borderId="0" xfId="0" applyFont="1" applyFill="1" applyBorder="1" applyAlignment="1">
      <alignment horizontal="right"/>
    </xf>
    <xf numFmtId="167" fontId="61" fillId="12" borderId="8" xfId="0" applyNumberFormat="1" applyFont="1" applyFill="1" applyBorder="1" applyAlignment="1" applyProtection="1">
      <alignment horizontal="right"/>
    </xf>
    <xf numFmtId="0" fontId="65" fillId="0" borderId="0" xfId="8" applyFont="1" applyAlignment="1">
      <alignment horizontal="left" vertical="top" wrapText="1"/>
    </xf>
    <xf numFmtId="0" fontId="84" fillId="0" borderId="0" xfId="13" applyFont="1"/>
    <xf numFmtId="0" fontId="29" fillId="0" borderId="0" xfId="0" applyFont="1" applyAlignment="1">
      <alignment horizontal="center" wrapText="1"/>
    </xf>
    <xf numFmtId="0" fontId="71" fillId="4" borderId="0" xfId="0" applyFont="1" applyFill="1" applyBorder="1" applyAlignment="1">
      <alignment vertical="center"/>
    </xf>
    <xf numFmtId="0" fontId="40" fillId="4" borderId="0" xfId="0" applyFont="1" applyFill="1" applyBorder="1"/>
    <xf numFmtId="167" fontId="28" fillId="6" borderId="8" xfId="0" applyNumberFormat="1" applyFont="1" applyFill="1" applyBorder="1" applyAlignment="1" applyProtection="1">
      <alignment horizontal="right"/>
      <protection locked="0"/>
    </xf>
    <xf numFmtId="167" fontId="82" fillId="4" borderId="0" xfId="0" applyNumberFormat="1" applyFont="1" applyFill="1" applyBorder="1" applyAlignment="1" applyProtection="1">
      <alignment horizontal="right"/>
      <protection locked="0"/>
    </xf>
    <xf numFmtId="167" fontId="82" fillId="4" borderId="16" xfId="0" applyNumberFormat="1" applyFont="1" applyFill="1" applyBorder="1" applyAlignment="1" applyProtection="1">
      <alignment horizontal="right"/>
      <protection locked="0"/>
    </xf>
    <xf numFmtId="167" fontId="31" fillId="0" borderId="8" xfId="0" applyNumberFormat="1" applyFont="1" applyFill="1" applyBorder="1" applyAlignment="1" applyProtection="1">
      <alignment horizontal="right"/>
      <protection locked="0"/>
    </xf>
    <xf numFmtId="0" fontId="29" fillId="4" borderId="12" xfId="0" applyFont="1" applyFill="1" applyBorder="1" applyAlignment="1" applyProtection="1">
      <alignment horizontal="right"/>
    </xf>
    <xf numFmtId="167" fontId="31" fillId="10" borderId="24" xfId="0" applyNumberFormat="1" applyFont="1" applyFill="1" applyBorder="1" applyAlignment="1" applyProtection="1">
      <alignment horizontal="right"/>
    </xf>
    <xf numFmtId="0" fontId="26" fillId="0" borderId="0" xfId="0" applyFont="1" applyAlignment="1">
      <alignment horizontal="left" vertical="top" wrapText="1"/>
    </xf>
    <xf numFmtId="0" fontId="34" fillId="0" borderId="0" xfId="0" applyFont="1" applyBorder="1" applyAlignment="1">
      <alignment horizontal="center" wrapText="1"/>
    </xf>
    <xf numFmtId="0" fontId="35" fillId="4" borderId="0" xfId="0" applyFont="1" applyFill="1" applyBorder="1" applyAlignment="1">
      <alignment horizontal="center" vertical="center"/>
    </xf>
    <xf numFmtId="0" fontId="34" fillId="4" borderId="0" xfId="0" applyFont="1" applyFill="1" applyBorder="1" applyAlignment="1">
      <alignment horizontal="center"/>
    </xf>
    <xf numFmtId="0" fontId="28" fillId="4" borderId="72" xfId="0" applyFont="1" applyFill="1" applyBorder="1" applyAlignment="1">
      <alignment horizontal="left" vertical="center" wrapText="1" indent="1"/>
    </xf>
    <xf numFmtId="0" fontId="28" fillId="4" borderId="61" xfId="0" applyFont="1" applyFill="1" applyBorder="1" applyAlignment="1">
      <alignment horizontal="left" vertical="center" wrapText="1" indent="1"/>
    </xf>
    <xf numFmtId="0" fontId="75" fillId="4" borderId="73" xfId="0" applyFont="1" applyFill="1" applyBorder="1" applyAlignment="1">
      <alignment horizontal="center" vertical="center" wrapText="1"/>
    </xf>
    <xf numFmtId="0" fontId="75" fillId="4" borderId="62" xfId="0" applyFont="1" applyFill="1" applyBorder="1" applyAlignment="1">
      <alignment horizontal="center" vertical="center" wrapText="1"/>
    </xf>
    <xf numFmtId="0" fontId="75" fillId="4" borderId="74" xfId="0" applyFont="1" applyFill="1" applyBorder="1" applyAlignment="1">
      <alignment horizontal="center" vertical="center" wrapText="1"/>
    </xf>
    <xf numFmtId="0" fontId="73" fillId="4" borderId="75" xfId="0" applyFont="1" applyFill="1" applyBorder="1" applyAlignment="1">
      <alignment horizontal="left" vertical="top"/>
    </xf>
    <xf numFmtId="0" fontId="73" fillId="4" borderId="4" xfId="0" applyFont="1" applyFill="1" applyBorder="1" applyAlignment="1">
      <alignment horizontal="left" vertical="top"/>
    </xf>
    <xf numFmtId="0" fontId="73" fillId="4" borderId="76" xfId="0" applyFont="1" applyFill="1" applyBorder="1" applyAlignment="1">
      <alignment horizontal="left" vertical="top"/>
    </xf>
    <xf numFmtId="0" fontId="73" fillId="4" borderId="77" xfId="0" applyFont="1" applyFill="1" applyBorder="1" applyAlignment="1">
      <alignment horizontal="left" vertical="top"/>
    </xf>
    <xf numFmtId="0" fontId="73" fillId="4" borderId="1" xfId="0" applyFont="1" applyFill="1" applyBorder="1" applyAlignment="1">
      <alignment horizontal="left" vertical="top"/>
    </xf>
    <xf numFmtId="0" fontId="73" fillId="4" borderId="78" xfId="0" applyFont="1" applyFill="1" applyBorder="1" applyAlignment="1">
      <alignment horizontal="left" vertical="top"/>
    </xf>
    <xf numFmtId="0" fontId="41" fillId="11" borderId="0" xfId="0" applyFont="1" applyFill="1" applyBorder="1" applyAlignment="1">
      <alignment horizontal="center" vertical="center" wrapText="1"/>
    </xf>
    <xf numFmtId="0" fontId="26" fillId="0" borderId="2" xfId="0" applyFont="1" applyBorder="1" applyAlignment="1" applyProtection="1">
      <alignment horizontal="left" vertical="center" wrapText="1" indent="1"/>
    </xf>
    <xf numFmtId="0" fontId="26" fillId="0" borderId="0" xfId="0" applyFont="1" applyBorder="1" applyAlignment="1" applyProtection="1">
      <alignment horizontal="left" vertical="center" wrapText="1" indent="1"/>
    </xf>
    <xf numFmtId="0" fontId="26" fillId="4" borderId="0" xfId="0" applyNumberFormat="1" applyFont="1" applyFill="1" applyAlignment="1" applyProtection="1">
      <alignment horizontal="right"/>
    </xf>
    <xf numFmtId="0" fontId="28" fillId="0" borderId="13" xfId="7" applyNumberFormat="1" applyFont="1" applyBorder="1" applyAlignment="1" applyProtection="1">
      <alignment horizontal="center" vertical="center" wrapText="1"/>
    </xf>
    <xf numFmtId="0" fontId="28" fillId="0" borderId="8" xfId="7" applyNumberFormat="1" applyFont="1" applyBorder="1" applyAlignment="1" applyProtection="1">
      <alignment horizontal="center" vertical="center" wrapText="1"/>
    </xf>
    <xf numFmtId="0" fontId="28" fillId="0" borderId="5" xfId="0" applyNumberFormat="1" applyFont="1" applyBorder="1" applyAlignment="1" applyProtection="1">
      <alignment horizontal="center"/>
    </xf>
    <xf numFmtId="0" fontId="28" fillId="0" borderId="6" xfId="0" applyNumberFormat="1" applyFont="1" applyBorder="1" applyAlignment="1" applyProtection="1">
      <alignment horizontal="center"/>
    </xf>
    <xf numFmtId="0" fontId="28" fillId="0" borderId="7" xfId="0" applyNumberFormat="1" applyFont="1" applyBorder="1" applyAlignment="1" applyProtection="1">
      <alignment horizontal="center"/>
    </xf>
    <xf numFmtId="0" fontId="28" fillId="0" borderId="16" xfId="7" applyNumberFormat="1" applyFont="1" applyBorder="1" applyAlignment="1" applyProtection="1">
      <alignment horizontal="center" vertical="center" wrapText="1"/>
    </xf>
    <xf numFmtId="0" fontId="28" fillId="0" borderId="14" xfId="7" applyFont="1" applyBorder="1" applyAlignment="1" applyProtection="1">
      <alignment horizontal="center"/>
      <protection locked="0"/>
    </xf>
    <xf numFmtId="0" fontId="28" fillId="0" borderId="35" xfId="7" applyFont="1" applyBorder="1" applyAlignment="1" applyProtection="1">
      <alignment horizontal="center"/>
      <protection locked="0"/>
    </xf>
    <xf numFmtId="0" fontId="30" fillId="4" borderId="9" xfId="0" applyNumberFormat="1" applyFont="1" applyFill="1" applyBorder="1" applyAlignment="1" applyProtection="1">
      <alignment horizontal="right"/>
    </xf>
    <xf numFmtId="0" fontId="0" fillId="4" borderId="9" xfId="0" applyFill="1" applyBorder="1" applyAlignment="1" applyProtection="1"/>
    <xf numFmtId="0" fontId="28" fillId="0" borderId="0" xfId="7" applyNumberFormat="1" applyFont="1" applyBorder="1" applyAlignment="1" applyProtection="1">
      <alignment horizontal="center" vertical="center" wrapText="1"/>
    </xf>
    <xf numFmtId="0" fontId="28" fillId="0" borderId="6" xfId="7" applyNumberFormat="1" applyFont="1" applyBorder="1" applyAlignment="1" applyProtection="1">
      <alignment horizontal="right"/>
    </xf>
    <xf numFmtId="0" fontId="28" fillId="4" borderId="6" xfId="7" applyNumberFormat="1" applyFont="1" applyFill="1" applyBorder="1" applyAlignment="1" applyProtection="1">
      <alignment horizontal="right"/>
    </xf>
    <xf numFmtId="0" fontId="26" fillId="4" borderId="2" xfId="0" applyFont="1" applyFill="1" applyBorder="1" applyAlignment="1" applyProtection="1">
      <alignment horizontal="left" vertical="center" wrapText="1" indent="1"/>
    </xf>
    <xf numFmtId="0" fontId="26" fillId="4" borderId="0" xfId="0" applyFont="1" applyFill="1" applyBorder="1" applyAlignment="1" applyProtection="1">
      <alignment horizontal="left" vertical="center" wrapText="1" indent="1"/>
    </xf>
    <xf numFmtId="0" fontId="28" fillId="4" borderId="5" xfId="7" applyNumberFormat="1" applyFont="1" applyFill="1" applyBorder="1" applyAlignment="1" applyProtection="1">
      <alignment horizontal="center"/>
    </xf>
    <xf numFmtId="0" fontId="28" fillId="4" borderId="6" xfId="7" applyNumberFormat="1" applyFont="1" applyFill="1" applyBorder="1" applyAlignment="1" applyProtection="1">
      <alignment horizontal="center"/>
    </xf>
    <xf numFmtId="0" fontId="28" fillId="4" borderId="7" xfId="7" applyNumberFormat="1" applyFont="1" applyFill="1" applyBorder="1" applyAlignment="1" applyProtection="1">
      <alignment horizontal="center"/>
    </xf>
    <xf numFmtId="0" fontId="28" fillId="4" borderId="13" xfId="7" applyNumberFormat="1" applyFont="1" applyFill="1" applyBorder="1" applyAlignment="1" applyProtection="1">
      <alignment horizontal="center" vertical="center" wrapText="1"/>
    </xf>
    <xf numFmtId="0" fontId="28" fillId="4" borderId="8" xfId="7" applyNumberFormat="1" applyFont="1" applyFill="1" applyBorder="1" applyAlignment="1" applyProtection="1">
      <alignment horizontal="center" vertical="center" wrapText="1"/>
    </xf>
    <xf numFmtId="0" fontId="28" fillId="4" borderId="0" xfId="7" applyNumberFormat="1" applyFont="1" applyFill="1" applyBorder="1" applyAlignment="1" applyProtection="1">
      <alignment horizontal="center" vertical="center" wrapText="1"/>
    </xf>
    <xf numFmtId="0" fontId="28" fillId="4" borderId="16" xfId="7" applyNumberFormat="1" applyFont="1" applyFill="1" applyBorder="1" applyAlignment="1" applyProtection="1">
      <alignment horizontal="center" vertical="center" wrapText="1"/>
    </xf>
    <xf numFmtId="49" fontId="26" fillId="4" borderId="2" xfId="0" applyNumberFormat="1" applyFont="1" applyFill="1" applyBorder="1" applyAlignment="1" applyProtection="1">
      <alignment horizontal="left" vertical="center" wrapText="1" indent="1"/>
    </xf>
    <xf numFmtId="49" fontId="26" fillId="4" borderId="0" xfId="0" applyNumberFormat="1" applyFont="1" applyFill="1" applyBorder="1" applyAlignment="1" applyProtection="1">
      <alignment horizontal="left" vertical="center" wrapText="1" indent="1"/>
    </xf>
    <xf numFmtId="49" fontId="26" fillId="4" borderId="2" xfId="7" applyNumberFormat="1" applyFont="1" applyFill="1" applyBorder="1" applyAlignment="1" applyProtection="1">
      <alignment horizontal="left" vertical="center" wrapText="1" indent="1"/>
    </xf>
    <xf numFmtId="49" fontId="26" fillId="4" borderId="0" xfId="7" applyNumberFormat="1" applyFont="1" applyFill="1" applyBorder="1" applyAlignment="1" applyProtection="1">
      <alignment horizontal="left" vertical="center" wrapText="1" indent="1"/>
    </xf>
    <xf numFmtId="167" fontId="32" fillId="0" borderId="69" xfId="0" applyNumberFormat="1" applyFont="1" applyBorder="1" applyAlignment="1" applyProtection="1">
      <alignment horizontal="center" vertical="center" wrapText="1"/>
    </xf>
    <xf numFmtId="167" fontId="32" fillId="0" borderId="79" xfId="0" applyNumberFormat="1" applyFont="1" applyBorder="1" applyAlignment="1" applyProtection="1">
      <alignment horizontal="center" vertical="center" wrapText="1"/>
    </xf>
    <xf numFmtId="167" fontId="32" fillId="0" borderId="15" xfId="0" applyNumberFormat="1" applyFont="1" applyBorder="1" applyAlignment="1" applyProtection="1">
      <alignment horizontal="center" vertical="center" wrapText="1"/>
    </xf>
    <xf numFmtId="167" fontId="32" fillId="0" borderId="23" xfId="0" applyNumberFormat="1" applyFont="1" applyBorder="1" applyAlignment="1" applyProtection="1">
      <alignment horizontal="center" vertical="center" wrapText="1"/>
    </xf>
    <xf numFmtId="0" fontId="44" fillId="0" borderId="14" xfId="0" applyFont="1" applyBorder="1" applyAlignment="1" applyProtection="1">
      <alignment vertical="center" wrapText="1"/>
    </xf>
    <xf numFmtId="0" fontId="44" fillId="0" borderId="2" xfId="0" applyFont="1" applyBorder="1" applyAlignment="1" applyProtection="1">
      <alignment vertical="center" wrapText="1"/>
    </xf>
    <xf numFmtId="0" fontId="44" fillId="0" borderId="10" xfId="0" applyFont="1" applyBorder="1" applyAlignment="1" applyProtection="1">
      <alignment vertical="center" wrapText="1"/>
    </xf>
    <xf numFmtId="167" fontId="44" fillId="0" borderId="5" xfId="0" applyNumberFormat="1" applyFont="1" applyBorder="1" applyAlignment="1" applyProtection="1">
      <alignment horizontal="center" wrapText="1"/>
    </xf>
    <xf numFmtId="167" fontId="32" fillId="0" borderId="6" xfId="0" applyNumberFormat="1" applyFont="1" applyBorder="1" applyAlignment="1" applyProtection="1">
      <alignment horizontal="center" wrapText="1"/>
    </xf>
    <xf numFmtId="167" fontId="32" fillId="0" borderId="7" xfId="0" applyNumberFormat="1" applyFont="1" applyBorder="1" applyAlignment="1" applyProtection="1">
      <alignment horizontal="center" wrapText="1"/>
    </xf>
    <xf numFmtId="167" fontId="44" fillId="0" borderId="13" xfId="0" applyNumberFormat="1" applyFont="1" applyBorder="1" applyAlignment="1" applyProtection="1">
      <alignment horizontal="center" vertical="center" wrapText="1"/>
    </xf>
    <xf numFmtId="167" fontId="44" fillId="0" borderId="11" xfId="0" applyNumberFormat="1" applyFont="1" applyBorder="1" applyAlignment="1" applyProtection="1">
      <alignment horizontal="center" vertical="center" wrapText="1"/>
    </xf>
    <xf numFmtId="167" fontId="32" fillId="0" borderId="80" xfId="0" applyNumberFormat="1" applyFont="1" applyBorder="1" applyAlignment="1" applyProtection="1">
      <alignment horizontal="center" vertical="center" wrapText="1"/>
    </xf>
    <xf numFmtId="167" fontId="32" fillId="0" borderId="22" xfId="0" applyNumberFormat="1" applyFont="1" applyBorder="1" applyAlignment="1" applyProtection="1">
      <alignment horizontal="center" vertical="center" wrapText="1"/>
    </xf>
    <xf numFmtId="3" fontId="26" fillId="0" borderId="0" xfId="0" applyNumberFormat="1" applyFont="1" applyAlignment="1" applyProtection="1">
      <alignment horizontal="right"/>
    </xf>
    <xf numFmtId="0" fontId="30" fillId="0" borderId="0" xfId="0" applyFont="1" applyAlignment="1" applyProtection="1">
      <alignment horizontal="right"/>
    </xf>
    <xf numFmtId="0" fontId="30" fillId="0" borderId="0" xfId="0" applyFont="1" applyBorder="1" applyAlignment="1" applyProtection="1">
      <alignment horizontal="right"/>
    </xf>
    <xf numFmtId="167" fontId="44" fillId="0" borderId="6" xfId="0" applyNumberFormat="1" applyFont="1" applyBorder="1" applyAlignment="1" applyProtection="1">
      <alignment horizontal="center" wrapText="1"/>
    </xf>
    <xf numFmtId="0" fontId="32" fillId="0" borderId="8" xfId="0" applyNumberFormat="1" applyFont="1" applyBorder="1" applyAlignment="1" applyProtection="1">
      <alignment horizontal="center" vertical="center" wrapText="1"/>
    </xf>
    <xf numFmtId="0" fontId="32" fillId="0" borderId="8" xfId="0" applyNumberFormat="1" applyFont="1" applyBorder="1" applyAlignment="1" applyProtection="1">
      <alignment horizontal="center" wrapText="1"/>
    </xf>
    <xf numFmtId="167" fontId="31" fillId="0" borderId="18" xfId="0" applyNumberFormat="1" applyFont="1" applyBorder="1" applyAlignment="1" applyProtection="1">
      <alignment vertical="top"/>
      <protection locked="0"/>
    </xf>
    <xf numFmtId="167" fontId="31" fillId="0" borderId="8" xfId="0" applyNumberFormat="1" applyFont="1" applyBorder="1" applyAlignment="1" applyProtection="1">
      <alignment vertical="top"/>
      <protection locked="0"/>
    </xf>
    <xf numFmtId="167" fontId="31" fillId="0" borderId="17" xfId="0" applyNumberFormat="1" applyFont="1" applyBorder="1" applyAlignment="1" applyProtection="1">
      <alignment vertical="top"/>
      <protection locked="0"/>
    </xf>
    <xf numFmtId="167" fontId="31" fillId="0" borderId="11" xfId="0" applyNumberFormat="1" applyFont="1" applyBorder="1" applyAlignment="1" applyProtection="1">
      <alignment vertical="top"/>
      <protection locked="0"/>
    </xf>
    <xf numFmtId="167" fontId="31" fillId="0" borderId="18" xfId="0" applyNumberFormat="1" applyFont="1" applyBorder="1" applyAlignment="1" applyProtection="1">
      <protection locked="0"/>
    </xf>
    <xf numFmtId="167" fontId="31" fillId="0" borderId="8" xfId="0" applyNumberFormat="1" applyFont="1" applyBorder="1" applyAlignment="1" applyProtection="1">
      <protection locked="0"/>
    </xf>
    <xf numFmtId="167" fontId="31" fillId="0" borderId="17" xfId="0" applyNumberFormat="1" applyFont="1" applyBorder="1" applyAlignment="1" applyProtection="1">
      <protection locked="0"/>
    </xf>
    <xf numFmtId="0" fontId="12" fillId="0" borderId="14" xfId="0" applyFont="1" applyBorder="1" applyAlignment="1" applyProtection="1">
      <alignment horizontal="center"/>
      <protection locked="0"/>
    </xf>
    <xf numFmtId="0" fontId="12" fillId="0" borderId="35" xfId="0" applyFont="1" applyBorder="1" applyAlignment="1" applyProtection="1">
      <alignment horizontal="center"/>
      <protection locked="0"/>
    </xf>
    <xf numFmtId="0" fontId="5" fillId="0" borderId="0" xfId="0" applyNumberFormat="1" applyFont="1" applyAlignment="1" applyProtection="1">
      <alignment horizontal="right"/>
    </xf>
    <xf numFmtId="0" fontId="12" fillId="0" borderId="6" xfId="0" applyNumberFormat="1" applyFont="1" applyBorder="1" applyAlignment="1" applyProtection="1">
      <alignment horizontal="right"/>
    </xf>
    <xf numFmtId="0" fontId="12" fillId="0" borderId="13" xfId="0" applyNumberFormat="1" applyFont="1" applyBorder="1" applyAlignment="1" applyProtection="1">
      <alignment horizontal="center" wrapText="1"/>
    </xf>
    <xf numFmtId="0" fontId="12" fillId="0" borderId="8" xfId="0" applyNumberFormat="1" applyFont="1" applyBorder="1" applyAlignment="1" applyProtection="1">
      <alignment horizontal="center" wrapText="1"/>
    </xf>
    <xf numFmtId="0" fontId="12" fillId="0" borderId="16" xfId="0" applyNumberFormat="1" applyFont="1" applyBorder="1" applyAlignment="1" applyProtection="1">
      <alignment horizontal="center" wrapText="1"/>
    </xf>
    <xf numFmtId="0" fontId="14" fillId="0" borderId="0" xfId="0" applyFont="1" applyBorder="1" applyAlignment="1" applyProtection="1">
      <alignment horizontal="left" vertical="center" wrapText="1" indent="1"/>
    </xf>
    <xf numFmtId="0" fontId="12" fillId="0" borderId="5" xfId="0" applyNumberFormat="1" applyFont="1" applyBorder="1" applyAlignment="1" applyProtection="1">
      <alignment horizontal="center"/>
    </xf>
    <xf numFmtId="0" fontId="12" fillId="0" borderId="6" xfId="0" applyNumberFormat="1" applyFont="1" applyBorder="1" applyAlignment="1" applyProtection="1">
      <alignment horizontal="center"/>
    </xf>
    <xf numFmtId="0" fontId="12" fillId="0" borderId="7" xfId="0" applyNumberFormat="1" applyFont="1" applyBorder="1" applyAlignment="1" applyProtection="1">
      <alignment horizontal="center"/>
    </xf>
    <xf numFmtId="0" fontId="12" fillId="0" borderId="0" xfId="0" applyNumberFormat="1" applyFont="1" applyBorder="1" applyAlignment="1" applyProtection="1">
      <alignment horizontal="center" wrapText="1"/>
    </xf>
  </cellXfs>
  <cellStyles count="14">
    <cellStyle name="Comma" xfId="4"/>
    <cellStyle name="Comma [0]" xfId="5"/>
    <cellStyle name="Comma 2" xfId="6"/>
    <cellStyle name="Comma 2 2" xfId="9"/>
    <cellStyle name="Currency" xfId="2"/>
    <cellStyle name="Currency [0]" xfId="3"/>
    <cellStyle name="Hyperlink" xfId="13"/>
    <cellStyle name="Normal" xfId="0" builtinId="0"/>
    <cellStyle name="Normal 2" xfId="7"/>
    <cellStyle name="Normal 3" xfId="8"/>
    <cellStyle name="Normal 3 2" xfId="10"/>
    <cellStyle name="Normal 4" xfId="11"/>
    <cellStyle name="Normal 5" xfId="12"/>
    <cellStyle name="Percent" xfId="1"/>
  </cellStyles>
  <dxfs count="351">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rgb="FF9C0006"/>
      </font>
      <fill>
        <patternFill>
          <bgColor rgb="FFFFC7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 Id="rId30"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180975</xdr:colOff>
      <xdr:row>1</xdr:row>
      <xdr:rowOff>114300</xdr:rowOff>
    </xdr:from>
    <xdr:to>
      <xdr:col>6</xdr:col>
      <xdr:colOff>238125</xdr:colOff>
      <xdr:row>11</xdr:row>
      <xdr:rowOff>85725</xdr:rowOff>
    </xdr:to>
    <xdr:pic>
      <xdr:nvPicPr>
        <xdr:cNvPr id="2582" name="Picture 1"/>
        <xdr:cNvPicPr>
          <a:picLocks noChangeAspect="1"/>
        </xdr:cNvPicPr>
      </xdr:nvPicPr>
      <xdr:blipFill>
        <a:blip xmlns:r="http://schemas.openxmlformats.org/officeDocument/2006/relationships" r:embed="rId1"/>
        <a:stretch>
          <a:fillRect/>
        </a:stretch>
      </xdr:blipFill>
      <xdr:spPr bwMode="auto">
        <a:xfrm>
          <a:off x="276225" y="304800"/>
          <a:ext cx="1657350" cy="1714500"/>
        </a:xfrm>
        <a:prstGeom prst="rect">
          <a:avLst/>
        </a:prstGeom>
        <a:noFill/>
        <a:ln w="9525">
          <a:noFill/>
        </a:ln>
      </xdr:spPr>
    </xdr:pic>
    <xdr:clientData/>
  </xdr:twoCellAnchor>
  <xdr:twoCellAnchor>
    <xdr:from>
      <xdr:col>15</xdr:col>
      <xdr:colOff>66675</xdr:colOff>
      <xdr:row>10</xdr:row>
      <xdr:rowOff>104775</xdr:rowOff>
    </xdr:from>
    <xdr:to>
      <xdr:col>17</xdr:col>
      <xdr:colOff>28575</xdr:colOff>
      <xdr:row>13</xdr:row>
      <xdr:rowOff>190500</xdr:rowOff>
    </xdr:to>
    <xdr:sp macro="" textlink="">
      <xdr:nvSpPr>
        <xdr:cNvPr id="2" name="Arrow: Right 1"/>
        <xdr:cNvSpPr/>
      </xdr:nvSpPr>
      <xdr:spPr>
        <a:xfrm>
          <a:off x="10239375" y="1819275"/>
          <a:ext cx="990600" cy="742950"/>
        </a:xfrm>
        <a:prstGeom prst="rightArrow">
          <a:avLst/>
        </a:prstGeom>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rtlCol="0" anchor="t"/>
        <a:lstStyle/>
        <a:p>
          <a:pPr algn="l"/>
          <a:endParaRPr lang="en-US" sz="1100"/>
        </a:p>
      </xdr:txBody>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stagodata@imf.org" TargetMode="External"/><Relationship Id="rId1" Type="http://schemas.openxmlformats.org/officeDocument/2006/relationships/hyperlink" Target="http://datareportinghelp.imf.org/" TargetMode="External"/></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36.bin"/><Relationship Id="rId2" Type="http://schemas.openxmlformats.org/officeDocument/2006/relationships/printerSettings" Target="../printerSettings/printerSettings35.bin"/><Relationship Id="rId1" Type="http://schemas.openxmlformats.org/officeDocument/2006/relationships/printerSettings" Target="../printerSettings/printerSettings34.bin"/><Relationship Id="rId6" Type="http://schemas.openxmlformats.org/officeDocument/2006/relationships/comments" Target="../comments9.xml"/><Relationship Id="rId5" Type="http://schemas.openxmlformats.org/officeDocument/2006/relationships/vmlDrawing" Target="../drawings/vmlDrawing9.vml"/><Relationship Id="rId4" Type="http://schemas.openxmlformats.org/officeDocument/2006/relationships/printerSettings" Target="../printerSettings/printerSettings37.bin"/></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40.bin"/><Relationship Id="rId2" Type="http://schemas.openxmlformats.org/officeDocument/2006/relationships/printerSettings" Target="../printerSettings/printerSettings39.bin"/><Relationship Id="rId1" Type="http://schemas.openxmlformats.org/officeDocument/2006/relationships/printerSettings" Target="../printerSettings/printerSettings38.bin"/><Relationship Id="rId6" Type="http://schemas.openxmlformats.org/officeDocument/2006/relationships/comments" Target="../comments10.xml"/><Relationship Id="rId5" Type="http://schemas.openxmlformats.org/officeDocument/2006/relationships/vmlDrawing" Target="../drawings/vmlDrawing10.vml"/><Relationship Id="rId4" Type="http://schemas.openxmlformats.org/officeDocument/2006/relationships/printerSettings" Target="../printerSettings/printerSettings41.bin"/></Relationships>
</file>

<file path=xl/worksheets/_rels/sheet12.xml.rels><?xml version="1.0" encoding="UTF-8" standalone="yes"?>
<Relationships xmlns="http://schemas.openxmlformats.org/package/2006/relationships"><Relationship Id="rId3" Type="http://schemas.openxmlformats.org/officeDocument/2006/relationships/printerSettings" Target="../printerSettings/printerSettings44.bin"/><Relationship Id="rId2" Type="http://schemas.openxmlformats.org/officeDocument/2006/relationships/printerSettings" Target="../printerSettings/printerSettings43.bin"/><Relationship Id="rId1" Type="http://schemas.openxmlformats.org/officeDocument/2006/relationships/printerSettings" Target="../printerSettings/printerSettings42.bin"/><Relationship Id="rId6" Type="http://schemas.openxmlformats.org/officeDocument/2006/relationships/comments" Target="../comments11.xml"/><Relationship Id="rId5" Type="http://schemas.openxmlformats.org/officeDocument/2006/relationships/vmlDrawing" Target="../drawings/vmlDrawing11.vml"/><Relationship Id="rId4" Type="http://schemas.openxmlformats.org/officeDocument/2006/relationships/printerSettings" Target="../printerSettings/printerSettings45.bin"/></Relationships>
</file>

<file path=xl/worksheets/_rels/sheet13.xml.rels><?xml version="1.0" encoding="UTF-8" standalone="yes"?>
<Relationships xmlns="http://schemas.openxmlformats.org/package/2006/relationships"><Relationship Id="rId3" Type="http://schemas.openxmlformats.org/officeDocument/2006/relationships/printerSettings" Target="../printerSettings/printerSettings48.bin"/><Relationship Id="rId2" Type="http://schemas.openxmlformats.org/officeDocument/2006/relationships/printerSettings" Target="../printerSettings/printerSettings47.bin"/><Relationship Id="rId1" Type="http://schemas.openxmlformats.org/officeDocument/2006/relationships/printerSettings" Target="../printerSettings/printerSettings46.bin"/><Relationship Id="rId6" Type="http://schemas.openxmlformats.org/officeDocument/2006/relationships/comments" Target="../comments12.xml"/><Relationship Id="rId5" Type="http://schemas.openxmlformats.org/officeDocument/2006/relationships/vmlDrawing" Target="../drawings/vmlDrawing12.vml"/><Relationship Id="rId4" Type="http://schemas.openxmlformats.org/officeDocument/2006/relationships/printerSettings" Target="../printerSettings/printerSettings49.bin"/></Relationships>
</file>

<file path=xl/worksheets/_rels/sheet14.xml.rels><?xml version="1.0" encoding="UTF-8" standalone="yes"?>
<Relationships xmlns="http://schemas.openxmlformats.org/package/2006/relationships"><Relationship Id="rId3" Type="http://schemas.openxmlformats.org/officeDocument/2006/relationships/printerSettings" Target="../printerSettings/printerSettings52.bin"/><Relationship Id="rId2" Type="http://schemas.openxmlformats.org/officeDocument/2006/relationships/printerSettings" Target="../printerSettings/printerSettings51.bin"/><Relationship Id="rId1" Type="http://schemas.openxmlformats.org/officeDocument/2006/relationships/printerSettings" Target="../printerSettings/printerSettings50.bin"/><Relationship Id="rId6" Type="http://schemas.openxmlformats.org/officeDocument/2006/relationships/comments" Target="../comments13.xml"/><Relationship Id="rId5" Type="http://schemas.openxmlformats.org/officeDocument/2006/relationships/vmlDrawing" Target="../drawings/vmlDrawing13.vml"/><Relationship Id="rId4" Type="http://schemas.openxmlformats.org/officeDocument/2006/relationships/printerSettings" Target="../printerSettings/printerSettings53.bin"/></Relationships>
</file>

<file path=xl/worksheets/_rels/sheet15.xml.rels><?xml version="1.0" encoding="UTF-8" standalone="yes"?>
<Relationships xmlns="http://schemas.openxmlformats.org/package/2006/relationships"><Relationship Id="rId3" Type="http://schemas.openxmlformats.org/officeDocument/2006/relationships/printerSettings" Target="../printerSettings/printerSettings56.bin"/><Relationship Id="rId2" Type="http://schemas.openxmlformats.org/officeDocument/2006/relationships/printerSettings" Target="../printerSettings/printerSettings55.bin"/><Relationship Id="rId1" Type="http://schemas.openxmlformats.org/officeDocument/2006/relationships/printerSettings" Target="../printerSettings/printerSettings54.bin"/><Relationship Id="rId6" Type="http://schemas.openxmlformats.org/officeDocument/2006/relationships/comments" Target="../comments14.xml"/><Relationship Id="rId5" Type="http://schemas.openxmlformats.org/officeDocument/2006/relationships/vmlDrawing" Target="../drawings/vmlDrawing14.vml"/><Relationship Id="rId4" Type="http://schemas.openxmlformats.org/officeDocument/2006/relationships/printerSettings" Target="../printerSettings/printerSettings57.bin"/></Relationships>
</file>

<file path=xl/worksheets/_rels/sheet16.xml.rels><?xml version="1.0" encoding="UTF-8" standalone="yes"?>
<Relationships xmlns="http://schemas.openxmlformats.org/package/2006/relationships"><Relationship Id="rId3" Type="http://schemas.openxmlformats.org/officeDocument/2006/relationships/printerSettings" Target="../printerSettings/printerSettings60.bin"/><Relationship Id="rId2" Type="http://schemas.openxmlformats.org/officeDocument/2006/relationships/printerSettings" Target="../printerSettings/printerSettings59.bin"/><Relationship Id="rId1" Type="http://schemas.openxmlformats.org/officeDocument/2006/relationships/printerSettings" Target="../printerSettings/printerSettings58.bin"/><Relationship Id="rId6" Type="http://schemas.openxmlformats.org/officeDocument/2006/relationships/comments" Target="../comments15.xml"/><Relationship Id="rId5" Type="http://schemas.openxmlformats.org/officeDocument/2006/relationships/vmlDrawing" Target="../drawings/vmlDrawing15.vml"/><Relationship Id="rId4" Type="http://schemas.openxmlformats.org/officeDocument/2006/relationships/printerSettings" Target="../printerSettings/printerSettings61.bin"/></Relationships>
</file>

<file path=xl/worksheets/_rels/sheet17.xml.rels><?xml version="1.0" encoding="UTF-8" standalone="yes"?>
<Relationships xmlns="http://schemas.openxmlformats.org/package/2006/relationships"><Relationship Id="rId3" Type="http://schemas.openxmlformats.org/officeDocument/2006/relationships/printerSettings" Target="../printerSettings/printerSettings64.bin"/><Relationship Id="rId2" Type="http://schemas.openxmlformats.org/officeDocument/2006/relationships/printerSettings" Target="../printerSettings/printerSettings63.bin"/><Relationship Id="rId1" Type="http://schemas.openxmlformats.org/officeDocument/2006/relationships/printerSettings" Target="../printerSettings/printerSettings62.bin"/><Relationship Id="rId6" Type="http://schemas.openxmlformats.org/officeDocument/2006/relationships/comments" Target="../comments16.xml"/><Relationship Id="rId5" Type="http://schemas.openxmlformats.org/officeDocument/2006/relationships/vmlDrawing" Target="../drawings/vmlDrawing16.vml"/><Relationship Id="rId4" Type="http://schemas.openxmlformats.org/officeDocument/2006/relationships/printerSettings" Target="../printerSettings/printerSettings65.bin"/></Relationships>
</file>

<file path=xl/worksheets/_rels/sheet18.xml.rels><?xml version="1.0" encoding="UTF-8" standalone="yes"?>
<Relationships xmlns="http://schemas.openxmlformats.org/package/2006/relationships"><Relationship Id="rId3" Type="http://schemas.openxmlformats.org/officeDocument/2006/relationships/printerSettings" Target="../printerSettings/printerSettings68.bin"/><Relationship Id="rId2" Type="http://schemas.openxmlformats.org/officeDocument/2006/relationships/printerSettings" Target="../printerSettings/printerSettings67.bin"/><Relationship Id="rId1" Type="http://schemas.openxmlformats.org/officeDocument/2006/relationships/printerSettings" Target="../printerSettings/printerSettings66.bin"/><Relationship Id="rId6" Type="http://schemas.openxmlformats.org/officeDocument/2006/relationships/comments" Target="../comments17.xml"/><Relationship Id="rId5" Type="http://schemas.openxmlformats.org/officeDocument/2006/relationships/vmlDrawing" Target="../drawings/vmlDrawing17.vml"/><Relationship Id="rId4" Type="http://schemas.openxmlformats.org/officeDocument/2006/relationships/printerSettings" Target="../printerSettings/printerSettings69.bin"/></Relationships>
</file>

<file path=xl/worksheets/_rels/sheet19.xml.rels><?xml version="1.0" encoding="UTF-8" standalone="yes"?>
<Relationships xmlns="http://schemas.openxmlformats.org/package/2006/relationships"><Relationship Id="rId3" Type="http://schemas.openxmlformats.org/officeDocument/2006/relationships/printerSettings" Target="../printerSettings/printerSettings72.bin"/><Relationship Id="rId2" Type="http://schemas.openxmlformats.org/officeDocument/2006/relationships/printerSettings" Target="../printerSettings/printerSettings71.bin"/><Relationship Id="rId1" Type="http://schemas.openxmlformats.org/officeDocument/2006/relationships/printerSettings" Target="../printerSettings/printerSettings70.bin"/><Relationship Id="rId6" Type="http://schemas.openxmlformats.org/officeDocument/2006/relationships/comments" Target="../comments18.xml"/><Relationship Id="rId5" Type="http://schemas.openxmlformats.org/officeDocument/2006/relationships/vmlDrawing" Target="../drawings/vmlDrawing18.vml"/><Relationship Id="rId4" Type="http://schemas.openxmlformats.org/officeDocument/2006/relationships/printerSettings" Target="../printerSettings/printerSettings73.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4.bin"/><Relationship Id="rId7" Type="http://schemas.openxmlformats.org/officeDocument/2006/relationships/comments" Target="../comments1.xml"/><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5.bin"/></Relationships>
</file>

<file path=xl/worksheets/_rels/sheet20.xml.rels><?xml version="1.0" encoding="UTF-8" standalone="yes"?>
<Relationships xmlns="http://schemas.openxmlformats.org/package/2006/relationships"><Relationship Id="rId3" Type="http://schemas.openxmlformats.org/officeDocument/2006/relationships/printerSettings" Target="../printerSettings/printerSettings76.bin"/><Relationship Id="rId2" Type="http://schemas.openxmlformats.org/officeDocument/2006/relationships/printerSettings" Target="../printerSettings/printerSettings75.bin"/><Relationship Id="rId1" Type="http://schemas.openxmlformats.org/officeDocument/2006/relationships/printerSettings" Target="../printerSettings/printerSettings74.bin"/><Relationship Id="rId4" Type="http://schemas.openxmlformats.org/officeDocument/2006/relationships/printerSettings" Target="../printerSettings/printerSettings77.bin"/></Relationships>
</file>

<file path=xl/worksheets/_rels/sheet22.xml.rels><?xml version="1.0" encoding="UTF-8" standalone="yes"?>
<Relationships xmlns="http://schemas.openxmlformats.org/package/2006/relationships"><Relationship Id="rId3" Type="http://schemas.openxmlformats.org/officeDocument/2006/relationships/printerSettings" Target="../printerSettings/printerSettings80.bin"/><Relationship Id="rId2" Type="http://schemas.openxmlformats.org/officeDocument/2006/relationships/printerSettings" Target="../printerSettings/printerSettings79.bin"/><Relationship Id="rId1" Type="http://schemas.openxmlformats.org/officeDocument/2006/relationships/printerSettings" Target="../printerSettings/printerSettings78.bin"/><Relationship Id="rId4" Type="http://schemas.openxmlformats.org/officeDocument/2006/relationships/printerSettings" Target="../printerSettings/printerSettings81.bin"/></Relationships>
</file>

<file path=xl/worksheets/_rels/sheet23.xml.rels><?xml version="1.0" encoding="UTF-8" standalone="yes"?>
<Relationships xmlns="http://schemas.openxmlformats.org/package/2006/relationships"><Relationship Id="rId3" Type="http://schemas.openxmlformats.org/officeDocument/2006/relationships/printerSettings" Target="../printerSettings/printerSettings84.bin"/><Relationship Id="rId2" Type="http://schemas.openxmlformats.org/officeDocument/2006/relationships/printerSettings" Target="../printerSettings/printerSettings83.bin"/><Relationship Id="rId1" Type="http://schemas.openxmlformats.org/officeDocument/2006/relationships/printerSettings" Target="../printerSettings/printerSettings82.bin"/><Relationship Id="rId4" Type="http://schemas.openxmlformats.org/officeDocument/2006/relationships/printerSettings" Target="../printerSettings/printerSettings85.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printerSettings" Target="../printerSettings/printerSettings7.bin"/><Relationship Id="rId1" Type="http://schemas.openxmlformats.org/officeDocument/2006/relationships/printerSettings" Target="../printerSettings/printerSettings6.bin"/><Relationship Id="rId6" Type="http://schemas.openxmlformats.org/officeDocument/2006/relationships/comments" Target="../comments2.xml"/><Relationship Id="rId5" Type="http://schemas.openxmlformats.org/officeDocument/2006/relationships/vmlDrawing" Target="../drawings/vmlDrawing2.vml"/><Relationship Id="rId4" Type="http://schemas.openxmlformats.org/officeDocument/2006/relationships/printerSettings" Target="../printerSettings/printerSettings9.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12.bin"/><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6" Type="http://schemas.openxmlformats.org/officeDocument/2006/relationships/comments" Target="../comments3.xml"/><Relationship Id="rId5" Type="http://schemas.openxmlformats.org/officeDocument/2006/relationships/vmlDrawing" Target="../drawings/vmlDrawing3.vml"/><Relationship Id="rId4" Type="http://schemas.openxmlformats.org/officeDocument/2006/relationships/printerSettings" Target="../printerSettings/printerSettings13.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16.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comments" Target="../comments4.xml"/><Relationship Id="rId5" Type="http://schemas.openxmlformats.org/officeDocument/2006/relationships/vmlDrawing" Target="../drawings/vmlDrawing4.vml"/><Relationship Id="rId4" Type="http://schemas.openxmlformats.org/officeDocument/2006/relationships/printerSettings" Target="../printerSettings/printerSettings17.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20.bin"/><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 Id="rId6" Type="http://schemas.openxmlformats.org/officeDocument/2006/relationships/comments" Target="../comments5.xml"/><Relationship Id="rId5" Type="http://schemas.openxmlformats.org/officeDocument/2006/relationships/vmlDrawing" Target="../drawings/vmlDrawing5.vml"/><Relationship Id="rId4" Type="http://schemas.openxmlformats.org/officeDocument/2006/relationships/printerSettings" Target="../printerSettings/printerSettings21.bin"/></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24.bin"/><Relationship Id="rId2" Type="http://schemas.openxmlformats.org/officeDocument/2006/relationships/printerSettings" Target="../printerSettings/printerSettings23.bin"/><Relationship Id="rId1" Type="http://schemas.openxmlformats.org/officeDocument/2006/relationships/printerSettings" Target="../printerSettings/printerSettings22.bin"/><Relationship Id="rId6" Type="http://schemas.openxmlformats.org/officeDocument/2006/relationships/comments" Target="../comments6.xml"/><Relationship Id="rId5" Type="http://schemas.openxmlformats.org/officeDocument/2006/relationships/vmlDrawing" Target="../drawings/vmlDrawing6.vml"/><Relationship Id="rId4" Type="http://schemas.openxmlformats.org/officeDocument/2006/relationships/printerSettings" Target="../printerSettings/printerSettings25.bin"/></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28.bin"/><Relationship Id="rId2" Type="http://schemas.openxmlformats.org/officeDocument/2006/relationships/printerSettings" Target="../printerSettings/printerSettings27.bin"/><Relationship Id="rId1" Type="http://schemas.openxmlformats.org/officeDocument/2006/relationships/printerSettings" Target="../printerSettings/printerSettings26.bin"/><Relationship Id="rId6" Type="http://schemas.openxmlformats.org/officeDocument/2006/relationships/comments" Target="../comments7.xml"/><Relationship Id="rId5" Type="http://schemas.openxmlformats.org/officeDocument/2006/relationships/vmlDrawing" Target="../drawings/vmlDrawing7.vml"/><Relationship Id="rId4" Type="http://schemas.openxmlformats.org/officeDocument/2006/relationships/printerSettings" Target="../printerSettings/printerSettings29.bin"/></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32.bin"/><Relationship Id="rId2" Type="http://schemas.openxmlformats.org/officeDocument/2006/relationships/printerSettings" Target="../printerSettings/printerSettings31.bin"/><Relationship Id="rId1" Type="http://schemas.openxmlformats.org/officeDocument/2006/relationships/printerSettings" Target="../printerSettings/printerSettings30.bin"/><Relationship Id="rId6" Type="http://schemas.openxmlformats.org/officeDocument/2006/relationships/comments" Target="../comments8.xml"/><Relationship Id="rId5" Type="http://schemas.openxmlformats.org/officeDocument/2006/relationships/vmlDrawing" Target="../drawings/vmlDrawing8.vml"/><Relationship Id="rId4" Type="http://schemas.openxmlformats.org/officeDocument/2006/relationships/printerSettings" Target="../printerSettings/printerSettings3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A27"/>
  <sheetViews>
    <sheetView workbookViewId="0">
      <selection activeCell="A25" sqref="A25"/>
    </sheetView>
  </sheetViews>
  <sheetFormatPr baseColWidth="10" defaultColWidth="9.140625" defaultRowHeight="12.75" x14ac:dyDescent="0.2"/>
  <cols>
    <col min="1" max="1" width="180.7109375" style="483" customWidth="1"/>
  </cols>
  <sheetData>
    <row r="1" spans="1:1" ht="20.25" x14ac:dyDescent="0.2">
      <c r="A1" s="489" t="s">
        <v>3524</v>
      </c>
    </row>
    <row r="2" spans="1:1" ht="16.5" x14ac:dyDescent="0.2">
      <c r="A2" s="490"/>
    </row>
    <row r="3" spans="1:1" ht="14.25" x14ac:dyDescent="0.2">
      <c r="A3" s="491" t="s">
        <v>3525</v>
      </c>
    </row>
    <row r="4" spans="1:1" ht="16.5" x14ac:dyDescent="0.2">
      <c r="A4" s="490"/>
    </row>
    <row r="5" spans="1:1" ht="28.5" x14ac:dyDescent="0.2">
      <c r="A5" s="492" t="s">
        <v>3526</v>
      </c>
    </row>
    <row r="6" spans="1:1" ht="16.5" x14ac:dyDescent="0.2">
      <c r="A6" s="490"/>
    </row>
    <row r="7" spans="1:1" ht="16.5" x14ac:dyDescent="0.2">
      <c r="A7" s="493"/>
    </row>
    <row r="8" spans="1:1" ht="16.5" x14ac:dyDescent="0.2">
      <c r="A8" s="490"/>
    </row>
    <row r="9" spans="1:1" ht="14.25" x14ac:dyDescent="0.2">
      <c r="A9" s="494" t="s">
        <v>3527</v>
      </c>
    </row>
    <row r="10" spans="1:1" ht="28.5" x14ac:dyDescent="0.2">
      <c r="A10" s="494" t="s">
        <v>3528</v>
      </c>
    </row>
    <row r="11" spans="1:1" ht="14.25" x14ac:dyDescent="0.2">
      <c r="A11" s="494" t="s">
        <v>3529</v>
      </c>
    </row>
    <row r="12" spans="1:1" ht="14.25" x14ac:dyDescent="0.2">
      <c r="A12" s="495" t="s">
        <v>3530</v>
      </c>
    </row>
    <row r="13" spans="1:1" ht="14.25" x14ac:dyDescent="0.2">
      <c r="A13" s="496" t="s">
        <v>3531</v>
      </c>
    </row>
    <row r="14" spans="1:1" ht="14.25" x14ac:dyDescent="0.2">
      <c r="A14" s="496" t="s">
        <v>3532</v>
      </c>
    </row>
    <row r="15" spans="1:1" ht="14.25" x14ac:dyDescent="0.2">
      <c r="A15" s="496" t="s">
        <v>3533</v>
      </c>
    </row>
    <row r="16" spans="1:1" ht="17.25" customHeight="1" x14ac:dyDescent="0.2">
      <c r="A16" s="495" t="s">
        <v>3534</v>
      </c>
    </row>
    <row r="17" spans="1:1" ht="14.25" x14ac:dyDescent="0.2">
      <c r="A17" s="495" t="s">
        <v>3535</v>
      </c>
    </row>
    <row r="18" spans="1:1" ht="14.25" x14ac:dyDescent="0.2">
      <c r="A18" s="495" t="s">
        <v>3536</v>
      </c>
    </row>
    <row r="19" spans="1:1" ht="14.25" x14ac:dyDescent="0.2">
      <c r="A19" s="495" t="s">
        <v>3537</v>
      </c>
    </row>
    <row r="20" spans="1:1" x14ac:dyDescent="0.2">
      <c r="A20" s="742" t="s">
        <v>3538</v>
      </c>
    </row>
    <row r="21" spans="1:1" x14ac:dyDescent="0.2">
      <c r="A21" s="742" t="s">
        <v>3539</v>
      </c>
    </row>
    <row r="22" spans="1:1" ht="14.25" x14ac:dyDescent="0.2">
      <c r="A22" s="497"/>
    </row>
    <row r="23" spans="1:1" ht="14.25" x14ac:dyDescent="0.25">
      <c r="A23" s="743" t="s">
        <v>3540</v>
      </c>
    </row>
    <row r="24" spans="1:1" ht="14.25" x14ac:dyDescent="0.25">
      <c r="A24" s="743" t="s">
        <v>3541</v>
      </c>
    </row>
    <row r="25" spans="1:1" ht="14.25" x14ac:dyDescent="0.25">
      <c r="A25" s="744"/>
    </row>
    <row r="26" spans="1:1" ht="14.25" x14ac:dyDescent="0.25">
      <c r="A26" s="744"/>
    </row>
    <row r="27" spans="1:1" ht="14.25" x14ac:dyDescent="0.25">
      <c r="A27" s="744"/>
    </row>
  </sheetData>
  <sheetProtection password="EECE" sheet="1" objects="1" scenarios="1" formatCells="0" formatColumns="0" formatRows="0"/>
  <hyperlinks>
    <hyperlink ref="A23" r:id="rId1" display="http://datareportinghelp.imf.org/"/>
    <hyperlink ref="A24" r:id="rId2" display="mailto:stagodata@imf.org"/>
  </hyperlinks>
  <pageMargins left="0.7" right="0.7" top="0.75" bottom="0.75" header="0.3" footer="0.3"/>
  <pageSetup orientation="portrait" r:id="rId3"/>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indexed="52"/>
    <pageSetUpPr fitToPage="1"/>
  </sheetPr>
  <dimension ref="A1:S342"/>
  <sheetViews>
    <sheetView zoomScale="90" zoomScaleNormal="90" workbookViewId="0">
      <pane xSplit="4" ySplit="7" topLeftCell="E8" activePane="bottomRight" state="frozen"/>
      <selection activeCell="Q53" sqref="P8:Q53"/>
      <selection pane="topRight" activeCell="Q53" sqref="P8:Q53"/>
      <selection pane="bottomLeft" activeCell="Q53" sqref="P8:Q53"/>
      <selection pane="bottomRight" activeCell="M76" sqref="M76"/>
    </sheetView>
  </sheetViews>
  <sheetFormatPr baseColWidth="10" defaultColWidth="9.140625" defaultRowHeight="12.75" x14ac:dyDescent="0.2"/>
  <cols>
    <col min="1" max="1" width="14.5703125" style="164" hidden="1" customWidth="1"/>
    <col min="2" max="2" width="7.28515625" style="221" customWidth="1"/>
    <col min="3" max="3" width="65.140625" style="164" customWidth="1"/>
    <col min="4" max="4" width="0.85546875" style="164" customWidth="1"/>
    <col min="5" max="14" width="10" style="164" customWidth="1"/>
    <col min="15" max="15" width="3.28515625" style="164" customWidth="1"/>
    <col min="16" max="17" width="11.7109375" style="164" customWidth="1"/>
    <col min="18" max="18" width="9.140625" style="164" customWidth="1"/>
    <col min="19" max="16384" width="9.140625" style="164"/>
  </cols>
  <sheetData>
    <row r="1" spans="1:17" ht="14.25" x14ac:dyDescent="0.25">
      <c r="B1" s="513" t="str">
        <f>+Coverpage!A1</f>
        <v>GFSM2014_V1.5</v>
      </c>
      <c r="C1" s="514"/>
      <c r="D1" s="515"/>
      <c r="E1" s="516"/>
      <c r="F1" s="517"/>
      <c r="G1" s="771" t="str">
        <f>Reporting_Country_Name</f>
        <v>Colombia</v>
      </c>
      <c r="H1" s="771"/>
      <c r="I1" s="771"/>
      <c r="J1" s="771"/>
      <c r="K1" s="771"/>
      <c r="L1" s="771"/>
      <c r="M1" s="771"/>
      <c r="N1" s="661" t="str">
        <f>Reporting_Country_Code</f>
        <v>233</v>
      </c>
      <c r="O1" s="519"/>
      <c r="P1" s="653" t="s">
        <v>2731</v>
      </c>
      <c r="Q1" s="654"/>
    </row>
    <row r="2" spans="1:17" ht="14.25" x14ac:dyDescent="0.25">
      <c r="B2" s="513" t="s">
        <v>3129</v>
      </c>
      <c r="C2" s="582"/>
      <c r="D2" s="583"/>
      <c r="E2" s="523"/>
      <c r="F2" s="780" t="str">
        <f>"En "&amp;Coverpage!$I$15&amp;" de "&amp;Coverpage!$I$14&amp;" / El año fiscal termina en "&amp;Coverpage!$I$11&amp;" "&amp;Coverpage!$I$12</f>
        <v xml:space="preserve">En Billion de Colombian Pesos (COP) / El año fiscal termina en  </v>
      </c>
      <c r="G2" s="781"/>
      <c r="H2" s="781"/>
      <c r="I2" s="781"/>
      <c r="J2" s="781"/>
      <c r="K2" s="781"/>
      <c r="L2" s="781"/>
      <c r="M2" s="781"/>
      <c r="N2" s="781"/>
      <c r="O2" s="519"/>
      <c r="P2" s="655" t="s">
        <v>2732</v>
      </c>
      <c r="Q2" s="656"/>
    </row>
    <row r="3" spans="1:17" ht="12" customHeight="1" x14ac:dyDescent="0.25">
      <c r="B3" s="524"/>
      <c r="C3" s="525"/>
      <c r="D3" s="526"/>
      <c r="E3" s="527"/>
      <c r="F3" s="528"/>
      <c r="G3" s="784" t="s">
        <v>2726</v>
      </c>
      <c r="H3" s="784"/>
      <c r="I3" s="529" t="str">
        <f>Reporting_Period_Code</f>
        <v>2016</v>
      </c>
      <c r="J3" s="529"/>
      <c r="K3" s="528"/>
      <c r="L3" s="528"/>
      <c r="M3" s="530"/>
      <c r="N3" s="790" t="s">
        <v>2723</v>
      </c>
      <c r="O3" s="531"/>
      <c r="P3" s="168"/>
      <c r="Q3" s="168"/>
    </row>
    <row r="4" spans="1:17" ht="12" customHeight="1" x14ac:dyDescent="0.2">
      <c r="B4" s="794" t="s">
        <v>3128</v>
      </c>
      <c r="C4" s="795"/>
      <c r="D4" s="532"/>
      <c r="E4" s="787" t="s">
        <v>2727</v>
      </c>
      <c r="F4" s="788"/>
      <c r="G4" s="788"/>
      <c r="H4" s="789"/>
      <c r="I4" s="790" t="s">
        <v>2719</v>
      </c>
      <c r="J4" s="790" t="s">
        <v>2720</v>
      </c>
      <c r="K4" s="792" t="s">
        <v>2721</v>
      </c>
      <c r="L4" s="790" t="s">
        <v>2728</v>
      </c>
      <c r="M4" s="793" t="s">
        <v>2722</v>
      </c>
      <c r="N4" s="791"/>
      <c r="O4" s="531"/>
      <c r="P4" s="778" t="s">
        <v>2733</v>
      </c>
      <c r="Q4" s="779"/>
    </row>
    <row r="5" spans="1:17" ht="30" customHeight="1" x14ac:dyDescent="0.2">
      <c r="B5" s="794"/>
      <c r="C5" s="795"/>
      <c r="D5" s="532"/>
      <c r="E5" s="711" t="s">
        <v>2729</v>
      </c>
      <c r="F5" s="712" t="s">
        <v>2813</v>
      </c>
      <c r="G5" s="712" t="s">
        <v>2728</v>
      </c>
      <c r="H5" s="713" t="s">
        <v>2718</v>
      </c>
      <c r="I5" s="791"/>
      <c r="J5" s="791"/>
      <c r="K5" s="792"/>
      <c r="L5" s="791"/>
      <c r="M5" s="793"/>
      <c r="N5" s="791"/>
      <c r="O5" s="531"/>
      <c r="P5" s="668" t="s">
        <v>2734</v>
      </c>
      <c r="Q5" s="669" t="s">
        <v>2735</v>
      </c>
    </row>
    <row r="6" spans="1:17" ht="30" hidden="1" customHeight="1" x14ac:dyDescent="0.2">
      <c r="B6" s="618"/>
      <c r="C6" s="619"/>
      <c r="D6" s="532"/>
      <c r="E6" s="538" t="s">
        <v>1562</v>
      </c>
      <c r="F6" s="539" t="s">
        <v>1563</v>
      </c>
      <c r="G6" s="539" t="s">
        <v>1575</v>
      </c>
      <c r="H6" s="540" t="s">
        <v>634</v>
      </c>
      <c r="I6" s="539" t="s">
        <v>1564</v>
      </c>
      <c r="J6" s="539" t="s">
        <v>1574</v>
      </c>
      <c r="K6" s="540" t="s">
        <v>637</v>
      </c>
      <c r="L6" s="539" t="s">
        <v>1576</v>
      </c>
      <c r="M6" s="541" t="s">
        <v>1565</v>
      </c>
      <c r="N6" s="541" t="s">
        <v>1577</v>
      </c>
      <c r="O6" s="531"/>
      <c r="P6" s="171" t="s">
        <v>640</v>
      </c>
      <c r="Q6" s="172" t="s">
        <v>641</v>
      </c>
    </row>
    <row r="7" spans="1:17" ht="10.5" customHeight="1" x14ac:dyDescent="0.2">
      <c r="A7" s="143"/>
      <c r="B7" s="536"/>
      <c r="C7" s="537"/>
      <c r="D7" s="537"/>
      <c r="E7" s="538" t="s">
        <v>632</v>
      </c>
      <c r="F7" s="539" t="s">
        <v>633</v>
      </c>
      <c r="G7" s="540" t="s">
        <v>155</v>
      </c>
      <c r="H7" s="539" t="s">
        <v>634</v>
      </c>
      <c r="I7" s="540" t="s">
        <v>635</v>
      </c>
      <c r="J7" s="539" t="s">
        <v>636</v>
      </c>
      <c r="K7" s="540" t="s">
        <v>637</v>
      </c>
      <c r="L7" s="539" t="s">
        <v>156</v>
      </c>
      <c r="M7" s="541" t="s">
        <v>638</v>
      </c>
      <c r="N7" s="541" t="s">
        <v>639</v>
      </c>
      <c r="O7" s="531"/>
      <c r="P7" s="171" t="s">
        <v>640</v>
      </c>
      <c r="Q7" s="172" t="s">
        <v>641</v>
      </c>
    </row>
    <row r="8" spans="1:17" ht="15" customHeight="1" x14ac:dyDescent="0.25">
      <c r="A8" s="143" t="s">
        <v>1743</v>
      </c>
      <c r="B8" s="594" t="s">
        <v>60</v>
      </c>
      <c r="C8" s="626" t="s">
        <v>3097</v>
      </c>
      <c r="D8" s="566" t="s">
        <v>48</v>
      </c>
      <c r="E8" s="476">
        <f t="shared" ref="E8:N8" si="0">IF(OR(E9="NA",E14="NA",E25="NA"),"NA",IF(AND(E9="",E14="",E25=""),"",SUM(E9)+SUM(E14)-SUM(E25)))</f>
        <v>-15372.853913999996</v>
      </c>
      <c r="F8" s="476">
        <f t="shared" si="0"/>
        <v>292.39448199999998</v>
      </c>
      <c r="G8" s="476">
        <f>IF(OR(G14="NA",G25="NA"),"NA",IF(AND(G14="",G25=""),"",SUM(G9)+SUM(G14)-SUM(G25)))</f>
        <v>0</v>
      </c>
      <c r="H8" s="476">
        <f t="shared" si="0"/>
        <v>-15080.459431999994</v>
      </c>
      <c r="I8" s="476">
        <f t="shared" si="0"/>
        <v>-530.23462100000006</v>
      </c>
      <c r="J8" s="476">
        <f t="shared" si="0"/>
        <v>17.023717000000055</v>
      </c>
      <c r="K8" s="476">
        <f t="shared" si="0"/>
        <v>539.60938399999986</v>
      </c>
      <c r="L8" s="476">
        <f>IF(OR(L14="NA",L25="NA"),"NA",IF(AND(L14="",L25=""),"",SUM(L9)+SUM(L14)-SUM(L25)))</f>
        <v>0</v>
      </c>
      <c r="M8" s="476">
        <f t="shared" si="0"/>
        <v>-15054.060951999993</v>
      </c>
      <c r="N8" s="145">
        <f t="shared" si="0"/>
        <v>-15610.694052999994</v>
      </c>
      <c r="O8" s="546"/>
      <c r="P8" s="464">
        <f t="shared" ref="P8:P36" si="1">IF(OR(H8="NA",E8="NA",F8="NA",G8="NA"),"NA",SUM(H8)-SUM(E8:G8))</f>
        <v>1.8189894035458565E-12</v>
      </c>
      <c r="Q8" s="465">
        <f t="shared" ref="Q8:Q36" si="2">IF(OR(M8="NA",H8="NA",I8="NA",J8="NA",K8="NA",L8="NA"),"NA",SUM(M8)-SUM(H8:L8))</f>
        <v>1.8189894035458565E-12</v>
      </c>
    </row>
    <row r="9" spans="1:17" ht="14.25" x14ac:dyDescent="0.25">
      <c r="A9" s="143" t="s">
        <v>1744</v>
      </c>
      <c r="B9" s="549" t="s">
        <v>163</v>
      </c>
      <c r="C9" s="532" t="s">
        <v>3098</v>
      </c>
      <c r="D9" s="532" t="s">
        <v>48</v>
      </c>
      <c r="E9" s="92">
        <v>-159.86496999999986</v>
      </c>
      <c r="F9" s="92">
        <v>479.44810100000001</v>
      </c>
      <c r="G9" s="473">
        <v>0</v>
      </c>
      <c r="H9" s="92">
        <f>E9+F9+G9</f>
        <v>319.58313100000015</v>
      </c>
      <c r="I9" s="92">
        <v>-470.249886</v>
      </c>
      <c r="J9" s="92">
        <v>127.23187100000007</v>
      </c>
      <c r="K9" s="92">
        <v>1510.0230569999999</v>
      </c>
      <c r="L9" s="473">
        <v>0</v>
      </c>
      <c r="M9" s="92">
        <f>H9+I9+J9+K9</f>
        <v>1486.5881730000001</v>
      </c>
      <c r="N9" s="92">
        <f>H9+I9</f>
        <v>-150.66675499999985</v>
      </c>
      <c r="O9" s="546"/>
      <c r="P9" s="178">
        <f t="shared" si="1"/>
        <v>0</v>
      </c>
      <c r="Q9" s="179">
        <f t="shared" si="2"/>
        <v>0</v>
      </c>
    </row>
    <row r="10" spans="1:17" ht="14.25" hidden="1" x14ac:dyDescent="0.25">
      <c r="A10" s="143" t="s">
        <v>1745</v>
      </c>
      <c r="B10" s="549" t="s">
        <v>1155</v>
      </c>
      <c r="C10" s="550" t="s">
        <v>3099</v>
      </c>
      <c r="D10" s="532" t="s">
        <v>48</v>
      </c>
      <c r="E10" s="424" t="s">
        <v>2622</v>
      </c>
      <c r="F10" s="424" t="s">
        <v>2622</v>
      </c>
      <c r="G10" s="424" t="s">
        <v>2622</v>
      </c>
      <c r="H10" s="424" t="s">
        <v>2622</v>
      </c>
      <c r="I10" s="424" t="s">
        <v>2622</v>
      </c>
      <c r="J10" s="424" t="s">
        <v>2622</v>
      </c>
      <c r="K10" s="424" t="s">
        <v>2622</v>
      </c>
      <c r="L10" s="424" t="s">
        <v>2622</v>
      </c>
      <c r="M10" s="424" t="s">
        <v>2622</v>
      </c>
      <c r="N10" s="424" t="s">
        <v>2622</v>
      </c>
      <c r="O10" s="546"/>
      <c r="P10" s="178" t="str">
        <f t="shared" si="1"/>
        <v>NA</v>
      </c>
      <c r="Q10" s="179" t="str">
        <f t="shared" si="2"/>
        <v>NA</v>
      </c>
    </row>
    <row r="11" spans="1:17" ht="14.25" hidden="1" x14ac:dyDescent="0.25">
      <c r="A11" s="143" t="s">
        <v>1746</v>
      </c>
      <c r="B11" s="549" t="s">
        <v>1156</v>
      </c>
      <c r="C11" s="550" t="s">
        <v>3100</v>
      </c>
      <c r="D11" s="532" t="s">
        <v>48</v>
      </c>
      <c r="E11" s="424" t="s">
        <v>2622</v>
      </c>
      <c r="F11" s="424" t="s">
        <v>2622</v>
      </c>
      <c r="G11" s="424" t="s">
        <v>2622</v>
      </c>
      <c r="H11" s="424" t="s">
        <v>2622</v>
      </c>
      <c r="I11" s="424" t="s">
        <v>2622</v>
      </c>
      <c r="J11" s="424" t="s">
        <v>2622</v>
      </c>
      <c r="K11" s="424" t="s">
        <v>2622</v>
      </c>
      <c r="L11" s="424" t="s">
        <v>2622</v>
      </c>
      <c r="M11" s="424" t="s">
        <v>2622</v>
      </c>
      <c r="N11" s="424" t="s">
        <v>2622</v>
      </c>
      <c r="O11" s="546"/>
      <c r="P11" s="178" t="str">
        <f t="shared" si="1"/>
        <v>NA</v>
      </c>
      <c r="Q11" s="179" t="str">
        <f t="shared" si="2"/>
        <v>NA</v>
      </c>
    </row>
    <row r="12" spans="1:17" ht="14.25" hidden="1" x14ac:dyDescent="0.25">
      <c r="A12" s="143" t="s">
        <v>1747</v>
      </c>
      <c r="B12" s="549" t="s">
        <v>1157</v>
      </c>
      <c r="C12" s="550" t="s">
        <v>3101</v>
      </c>
      <c r="D12" s="532" t="s">
        <v>48</v>
      </c>
      <c r="E12" s="424" t="s">
        <v>2622</v>
      </c>
      <c r="F12" s="424" t="s">
        <v>2622</v>
      </c>
      <c r="G12" s="424" t="s">
        <v>2622</v>
      </c>
      <c r="H12" s="424" t="s">
        <v>2622</v>
      </c>
      <c r="I12" s="424" t="s">
        <v>2622</v>
      </c>
      <c r="J12" s="424" t="s">
        <v>2622</v>
      </c>
      <c r="K12" s="424" t="s">
        <v>2622</v>
      </c>
      <c r="L12" s="424" t="s">
        <v>2622</v>
      </c>
      <c r="M12" s="424" t="s">
        <v>2622</v>
      </c>
      <c r="N12" s="424" t="s">
        <v>2622</v>
      </c>
      <c r="O12" s="546"/>
      <c r="P12" s="178" t="str">
        <f t="shared" si="1"/>
        <v>NA</v>
      </c>
      <c r="Q12" s="179" t="str">
        <f t="shared" si="2"/>
        <v>NA</v>
      </c>
    </row>
    <row r="13" spans="1:17" ht="14.25" hidden="1" x14ac:dyDescent="0.25">
      <c r="A13" s="143" t="s">
        <v>1748</v>
      </c>
      <c r="B13" s="549" t="s">
        <v>1158</v>
      </c>
      <c r="C13" s="550" t="s">
        <v>3102</v>
      </c>
      <c r="D13" s="532" t="s">
        <v>48</v>
      </c>
      <c r="E13" s="424" t="s">
        <v>2622</v>
      </c>
      <c r="F13" s="424" t="s">
        <v>2622</v>
      </c>
      <c r="G13" s="424" t="s">
        <v>2622</v>
      </c>
      <c r="H13" s="424" t="s">
        <v>2622</v>
      </c>
      <c r="I13" s="424" t="s">
        <v>2622</v>
      </c>
      <c r="J13" s="424" t="s">
        <v>2622</v>
      </c>
      <c r="K13" s="424" t="s">
        <v>2622</v>
      </c>
      <c r="L13" s="424" t="s">
        <v>2622</v>
      </c>
      <c r="M13" s="424" t="s">
        <v>2622</v>
      </c>
      <c r="N13" s="424" t="s">
        <v>2622</v>
      </c>
      <c r="O13" s="546"/>
      <c r="P13" s="178" t="str">
        <f t="shared" si="1"/>
        <v>NA</v>
      </c>
      <c r="Q13" s="179" t="str">
        <f t="shared" si="2"/>
        <v>NA</v>
      </c>
    </row>
    <row r="14" spans="1:17" ht="14.25" x14ac:dyDescent="0.25">
      <c r="A14" s="143" t="s">
        <v>1749</v>
      </c>
      <c r="B14" s="549" t="s">
        <v>1159</v>
      </c>
      <c r="C14" s="532" t="s">
        <v>3103</v>
      </c>
      <c r="D14" s="532" t="s">
        <v>48</v>
      </c>
      <c r="E14" s="92">
        <v>-13538.240275</v>
      </c>
      <c r="F14" s="92">
        <v>-206.71934999999999</v>
      </c>
      <c r="G14" s="92">
        <v>0</v>
      </c>
      <c r="H14" s="92">
        <f>E14+F14+G14</f>
        <v>-13744.959625</v>
      </c>
      <c r="I14" s="92">
        <v>-59.984735000000001</v>
      </c>
      <c r="J14" s="92">
        <v>-170.03571600000001</v>
      </c>
      <c r="K14" s="92">
        <v>-900.63785600000006</v>
      </c>
      <c r="L14" s="92">
        <v>0</v>
      </c>
      <c r="M14" s="92">
        <f>H14+I14+J149+J14+K14+L14</f>
        <v>-14875.617931999999</v>
      </c>
      <c r="N14" s="92">
        <f>H14+I14</f>
        <v>-13804.94436</v>
      </c>
      <c r="O14" s="546"/>
      <c r="P14" s="178">
        <f t="shared" si="1"/>
        <v>0</v>
      </c>
      <c r="Q14" s="179">
        <f t="shared" si="2"/>
        <v>0</v>
      </c>
    </row>
    <row r="15" spans="1:17" ht="14.25" hidden="1" x14ac:dyDescent="0.25">
      <c r="A15" s="143" t="s">
        <v>1750</v>
      </c>
      <c r="B15" s="549" t="s">
        <v>148</v>
      </c>
      <c r="C15" s="550" t="s">
        <v>3104</v>
      </c>
      <c r="D15" s="532" t="s">
        <v>48</v>
      </c>
      <c r="E15" s="424" t="s">
        <v>2622</v>
      </c>
      <c r="F15" s="424" t="s">
        <v>2622</v>
      </c>
      <c r="G15" s="424" t="s">
        <v>2622</v>
      </c>
      <c r="H15" s="424" t="s">
        <v>2622</v>
      </c>
      <c r="I15" s="424" t="s">
        <v>2622</v>
      </c>
      <c r="J15" s="424" t="s">
        <v>2622</v>
      </c>
      <c r="K15" s="424" t="s">
        <v>2622</v>
      </c>
      <c r="L15" s="424" t="s">
        <v>2622</v>
      </c>
      <c r="M15" s="424" t="s">
        <v>2622</v>
      </c>
      <c r="N15" s="424" t="s">
        <v>2622</v>
      </c>
      <c r="O15" s="546"/>
      <c r="P15" s="178" t="str">
        <f t="shared" si="1"/>
        <v>NA</v>
      </c>
      <c r="Q15" s="179" t="str">
        <f t="shared" si="2"/>
        <v>NA</v>
      </c>
    </row>
    <row r="16" spans="1:17" s="270" customFormat="1" ht="14.25" hidden="1" x14ac:dyDescent="0.25">
      <c r="A16" s="143" t="s">
        <v>1751</v>
      </c>
      <c r="B16" s="549" t="s">
        <v>1160</v>
      </c>
      <c r="C16" s="550" t="s">
        <v>3105</v>
      </c>
      <c r="D16" s="532" t="s">
        <v>48</v>
      </c>
      <c r="E16" s="424" t="s">
        <v>2622</v>
      </c>
      <c r="F16" s="424" t="s">
        <v>2622</v>
      </c>
      <c r="G16" s="424" t="s">
        <v>2622</v>
      </c>
      <c r="H16" s="424" t="s">
        <v>2622</v>
      </c>
      <c r="I16" s="424" t="s">
        <v>2622</v>
      </c>
      <c r="J16" s="424" t="s">
        <v>2622</v>
      </c>
      <c r="K16" s="424" t="s">
        <v>2622</v>
      </c>
      <c r="L16" s="424" t="s">
        <v>2622</v>
      </c>
      <c r="M16" s="424" t="s">
        <v>2622</v>
      </c>
      <c r="N16" s="424" t="s">
        <v>2622</v>
      </c>
      <c r="O16" s="546"/>
      <c r="P16" s="178" t="str">
        <f t="shared" si="1"/>
        <v>NA</v>
      </c>
      <c r="Q16" s="179" t="str">
        <f t="shared" si="2"/>
        <v>NA</v>
      </c>
    </row>
    <row r="17" spans="1:17" s="270" customFormat="1" ht="14.25" hidden="1" x14ac:dyDescent="0.25">
      <c r="A17" s="143" t="s">
        <v>1752</v>
      </c>
      <c r="B17" s="549" t="s">
        <v>1161</v>
      </c>
      <c r="C17" s="550" t="s">
        <v>3106</v>
      </c>
      <c r="D17" s="532" t="s">
        <v>48</v>
      </c>
      <c r="E17" s="424" t="s">
        <v>2622</v>
      </c>
      <c r="F17" s="424" t="s">
        <v>2622</v>
      </c>
      <c r="G17" s="424" t="s">
        <v>2622</v>
      </c>
      <c r="H17" s="424" t="s">
        <v>2622</v>
      </c>
      <c r="I17" s="424" t="s">
        <v>2622</v>
      </c>
      <c r="J17" s="424" t="s">
        <v>2622</v>
      </c>
      <c r="K17" s="424" t="s">
        <v>2622</v>
      </c>
      <c r="L17" s="424" t="s">
        <v>2622</v>
      </c>
      <c r="M17" s="424" t="s">
        <v>2622</v>
      </c>
      <c r="N17" s="424" t="s">
        <v>2622</v>
      </c>
      <c r="O17" s="546"/>
      <c r="P17" s="178" t="str">
        <f t="shared" si="1"/>
        <v>NA</v>
      </c>
      <c r="Q17" s="179" t="str">
        <f t="shared" si="2"/>
        <v>NA</v>
      </c>
    </row>
    <row r="18" spans="1:17" s="270" customFormat="1" ht="14.25" hidden="1" x14ac:dyDescent="0.25">
      <c r="A18" s="143" t="s">
        <v>1753</v>
      </c>
      <c r="B18" s="549" t="s">
        <v>1162</v>
      </c>
      <c r="C18" s="550" t="s">
        <v>3107</v>
      </c>
      <c r="D18" s="532" t="s">
        <v>48</v>
      </c>
      <c r="E18" s="424" t="s">
        <v>2622</v>
      </c>
      <c r="F18" s="424" t="s">
        <v>2622</v>
      </c>
      <c r="G18" s="424" t="s">
        <v>2622</v>
      </c>
      <c r="H18" s="424" t="s">
        <v>2622</v>
      </c>
      <c r="I18" s="424" t="s">
        <v>2622</v>
      </c>
      <c r="J18" s="424" t="s">
        <v>2622</v>
      </c>
      <c r="K18" s="424" t="s">
        <v>2622</v>
      </c>
      <c r="L18" s="424" t="s">
        <v>2622</v>
      </c>
      <c r="M18" s="424" t="s">
        <v>2622</v>
      </c>
      <c r="N18" s="424" t="s">
        <v>2622</v>
      </c>
      <c r="O18" s="546"/>
      <c r="P18" s="178" t="str">
        <f t="shared" si="1"/>
        <v>NA</v>
      </c>
      <c r="Q18" s="179" t="str">
        <f t="shared" si="2"/>
        <v>NA</v>
      </c>
    </row>
    <row r="19" spans="1:17" s="270" customFormat="1" ht="14.25" hidden="1" x14ac:dyDescent="0.25">
      <c r="A19" s="143" t="s">
        <v>1754</v>
      </c>
      <c r="B19" s="549" t="s">
        <v>1163</v>
      </c>
      <c r="C19" s="550" t="s">
        <v>3108</v>
      </c>
      <c r="D19" s="532" t="s">
        <v>48</v>
      </c>
      <c r="E19" s="424" t="s">
        <v>2622</v>
      </c>
      <c r="F19" s="424" t="s">
        <v>2622</v>
      </c>
      <c r="G19" s="424" t="s">
        <v>2622</v>
      </c>
      <c r="H19" s="424" t="s">
        <v>2622</v>
      </c>
      <c r="I19" s="424" t="s">
        <v>2622</v>
      </c>
      <c r="J19" s="424" t="s">
        <v>2622</v>
      </c>
      <c r="K19" s="424" t="s">
        <v>2622</v>
      </c>
      <c r="L19" s="424" t="s">
        <v>2622</v>
      </c>
      <c r="M19" s="424" t="s">
        <v>2622</v>
      </c>
      <c r="N19" s="424" t="s">
        <v>2622</v>
      </c>
      <c r="O19" s="546"/>
      <c r="P19" s="178" t="str">
        <f t="shared" si="1"/>
        <v>NA</v>
      </c>
      <c r="Q19" s="179" t="str">
        <f t="shared" si="2"/>
        <v>NA</v>
      </c>
    </row>
    <row r="20" spans="1:17" s="270" customFormat="1" ht="14.25" hidden="1" x14ac:dyDescent="0.25">
      <c r="A20" s="143" t="s">
        <v>1755</v>
      </c>
      <c r="B20" s="549" t="s">
        <v>1164</v>
      </c>
      <c r="C20" s="550" t="s">
        <v>3109</v>
      </c>
      <c r="D20" s="532" t="s">
        <v>48</v>
      </c>
      <c r="E20" s="424" t="s">
        <v>2622</v>
      </c>
      <c r="F20" s="424" t="s">
        <v>2622</v>
      </c>
      <c r="G20" s="424" t="s">
        <v>2622</v>
      </c>
      <c r="H20" s="424" t="s">
        <v>2622</v>
      </c>
      <c r="I20" s="424" t="s">
        <v>2622</v>
      </c>
      <c r="J20" s="424" t="s">
        <v>2622</v>
      </c>
      <c r="K20" s="424" t="s">
        <v>2622</v>
      </c>
      <c r="L20" s="424" t="s">
        <v>2622</v>
      </c>
      <c r="M20" s="424" t="s">
        <v>2622</v>
      </c>
      <c r="N20" s="424" t="s">
        <v>2622</v>
      </c>
      <c r="O20" s="546"/>
      <c r="P20" s="178" t="str">
        <f t="shared" si="1"/>
        <v>NA</v>
      </c>
      <c r="Q20" s="179" t="str">
        <f t="shared" si="2"/>
        <v>NA</v>
      </c>
    </row>
    <row r="21" spans="1:17" s="270" customFormat="1" ht="14.25" hidden="1" x14ac:dyDescent="0.25">
      <c r="A21" s="143" t="s">
        <v>1756</v>
      </c>
      <c r="B21" s="549" t="s">
        <v>1165</v>
      </c>
      <c r="C21" s="550" t="s">
        <v>3110</v>
      </c>
      <c r="D21" s="532" t="s">
        <v>48</v>
      </c>
      <c r="E21" s="424" t="s">
        <v>2622</v>
      </c>
      <c r="F21" s="424" t="s">
        <v>2622</v>
      </c>
      <c r="G21" s="424" t="s">
        <v>2622</v>
      </c>
      <c r="H21" s="424" t="s">
        <v>2622</v>
      </c>
      <c r="I21" s="424" t="s">
        <v>2622</v>
      </c>
      <c r="J21" s="424" t="s">
        <v>2622</v>
      </c>
      <c r="K21" s="424" t="s">
        <v>2622</v>
      </c>
      <c r="L21" s="424" t="s">
        <v>2622</v>
      </c>
      <c r="M21" s="424" t="s">
        <v>2622</v>
      </c>
      <c r="N21" s="424" t="s">
        <v>2622</v>
      </c>
      <c r="O21" s="546"/>
      <c r="P21" s="178" t="str">
        <f t="shared" si="1"/>
        <v>NA</v>
      </c>
      <c r="Q21" s="179" t="str">
        <f t="shared" si="2"/>
        <v>NA</v>
      </c>
    </row>
    <row r="22" spans="1:17" s="270" customFormat="1" ht="14.25" hidden="1" x14ac:dyDescent="0.25">
      <c r="A22" s="143" t="s">
        <v>1757</v>
      </c>
      <c r="B22" s="549" t="s">
        <v>1166</v>
      </c>
      <c r="C22" s="550" t="s">
        <v>3111</v>
      </c>
      <c r="D22" s="532" t="s">
        <v>48</v>
      </c>
      <c r="E22" s="424" t="s">
        <v>2622</v>
      </c>
      <c r="F22" s="424" t="s">
        <v>2622</v>
      </c>
      <c r="G22" s="424" t="s">
        <v>2622</v>
      </c>
      <c r="H22" s="424" t="s">
        <v>2622</v>
      </c>
      <c r="I22" s="424" t="s">
        <v>2622</v>
      </c>
      <c r="J22" s="424" t="s">
        <v>2622</v>
      </c>
      <c r="K22" s="424" t="s">
        <v>2622</v>
      </c>
      <c r="L22" s="424" t="s">
        <v>2622</v>
      </c>
      <c r="M22" s="424" t="s">
        <v>2622</v>
      </c>
      <c r="N22" s="424" t="s">
        <v>2622</v>
      </c>
      <c r="O22" s="546"/>
      <c r="P22" s="178" t="str">
        <f t="shared" si="1"/>
        <v>NA</v>
      </c>
      <c r="Q22" s="179" t="str">
        <f t="shared" si="2"/>
        <v>NA</v>
      </c>
    </row>
    <row r="23" spans="1:17" ht="14.25" hidden="1" x14ac:dyDescent="0.25">
      <c r="A23" s="143" t="s">
        <v>1758</v>
      </c>
      <c r="B23" s="549" t="s">
        <v>1167</v>
      </c>
      <c r="C23" s="550" t="s">
        <v>3026</v>
      </c>
      <c r="D23" s="532" t="s">
        <v>48</v>
      </c>
      <c r="E23" s="424" t="s">
        <v>2622</v>
      </c>
      <c r="F23" s="424" t="s">
        <v>2622</v>
      </c>
      <c r="G23" s="424" t="s">
        <v>2622</v>
      </c>
      <c r="H23" s="424" t="s">
        <v>2622</v>
      </c>
      <c r="I23" s="424" t="s">
        <v>2622</v>
      </c>
      <c r="J23" s="424" t="s">
        <v>2622</v>
      </c>
      <c r="K23" s="424" t="s">
        <v>2622</v>
      </c>
      <c r="L23" s="424" t="s">
        <v>2622</v>
      </c>
      <c r="M23" s="424" t="s">
        <v>2622</v>
      </c>
      <c r="N23" s="424" t="s">
        <v>2622</v>
      </c>
      <c r="O23" s="546"/>
      <c r="P23" s="178" t="str">
        <f t="shared" si="1"/>
        <v>NA</v>
      </c>
      <c r="Q23" s="179" t="str">
        <f t="shared" si="2"/>
        <v>NA</v>
      </c>
    </row>
    <row r="24" spans="1:17" ht="14.25" hidden="1" x14ac:dyDescent="0.25">
      <c r="A24" s="143" t="s">
        <v>1759</v>
      </c>
      <c r="B24" s="549" t="s">
        <v>1168</v>
      </c>
      <c r="C24" s="550" t="s">
        <v>3035</v>
      </c>
      <c r="D24" s="532" t="s">
        <v>48</v>
      </c>
      <c r="E24" s="424" t="s">
        <v>2622</v>
      </c>
      <c r="F24" s="424" t="s">
        <v>2622</v>
      </c>
      <c r="G24" s="424" t="s">
        <v>2622</v>
      </c>
      <c r="H24" s="424" t="s">
        <v>2622</v>
      </c>
      <c r="I24" s="424" t="s">
        <v>2622</v>
      </c>
      <c r="J24" s="424" t="s">
        <v>2622</v>
      </c>
      <c r="K24" s="424" t="s">
        <v>2622</v>
      </c>
      <c r="L24" s="424" t="s">
        <v>2622</v>
      </c>
      <c r="M24" s="424" t="s">
        <v>2622</v>
      </c>
      <c r="N24" s="424" t="s">
        <v>2622</v>
      </c>
      <c r="O24" s="546"/>
      <c r="P24" s="178" t="str">
        <f t="shared" si="1"/>
        <v>NA</v>
      </c>
      <c r="Q24" s="179" t="str">
        <f t="shared" si="2"/>
        <v>NA</v>
      </c>
    </row>
    <row r="25" spans="1:17" ht="14.25" x14ac:dyDescent="0.25">
      <c r="A25" s="143" t="s">
        <v>1760</v>
      </c>
      <c r="B25" s="551" t="s">
        <v>1169</v>
      </c>
      <c r="C25" s="553" t="s">
        <v>3112</v>
      </c>
      <c r="D25" s="553" t="s">
        <v>48</v>
      </c>
      <c r="E25" s="92">
        <v>1674.7486689999944</v>
      </c>
      <c r="F25" s="92">
        <v>-19.665731000000001</v>
      </c>
      <c r="G25" s="92">
        <v>0</v>
      </c>
      <c r="H25" s="92">
        <f>E25+F25+G25</f>
        <v>1655.0829379999943</v>
      </c>
      <c r="I25" s="92">
        <v>0</v>
      </c>
      <c r="J25" s="92">
        <v>-59.827561999999993</v>
      </c>
      <c r="K25" s="92">
        <v>69.775817000000004</v>
      </c>
      <c r="L25" s="92">
        <v>0</v>
      </c>
      <c r="M25" s="92">
        <f>H25+I25+J25+K25+L25</f>
        <v>1665.0311929999943</v>
      </c>
      <c r="N25" s="92">
        <f>H25+I25</f>
        <v>1655.0829379999943</v>
      </c>
      <c r="O25" s="546"/>
      <c r="P25" s="178">
        <f t="shared" si="1"/>
        <v>0</v>
      </c>
      <c r="Q25" s="179">
        <f t="shared" si="2"/>
        <v>0</v>
      </c>
    </row>
    <row r="26" spans="1:17" s="270" customFormat="1" ht="12.2" hidden="1" customHeight="1" x14ac:dyDescent="0.25">
      <c r="A26" s="143" t="s">
        <v>1761</v>
      </c>
      <c r="B26" s="549" t="s">
        <v>1170</v>
      </c>
      <c r="C26" s="550" t="s">
        <v>3113</v>
      </c>
      <c r="D26" s="532" t="s">
        <v>48</v>
      </c>
      <c r="E26" s="424" t="s">
        <v>2622</v>
      </c>
      <c r="F26" s="424" t="s">
        <v>2622</v>
      </c>
      <c r="G26" s="424" t="s">
        <v>2622</v>
      </c>
      <c r="H26" s="424" t="s">
        <v>2622</v>
      </c>
      <c r="I26" s="424" t="s">
        <v>2622</v>
      </c>
      <c r="J26" s="424" t="s">
        <v>2622</v>
      </c>
      <c r="K26" s="424" t="s">
        <v>2622</v>
      </c>
      <c r="L26" s="424" t="s">
        <v>2622</v>
      </c>
      <c r="M26" s="424" t="s">
        <v>2622</v>
      </c>
      <c r="N26" s="424" t="s">
        <v>2622</v>
      </c>
      <c r="O26" s="546"/>
      <c r="P26" s="178" t="str">
        <f t="shared" si="1"/>
        <v>NA</v>
      </c>
      <c r="Q26" s="179" t="str">
        <f t="shared" si="2"/>
        <v>NA</v>
      </c>
    </row>
    <row r="27" spans="1:17" s="270" customFormat="1" ht="10.35" hidden="1" customHeight="1" x14ac:dyDescent="0.25">
      <c r="A27" s="143" t="s">
        <v>1762</v>
      </c>
      <c r="B27" s="549" t="s">
        <v>1171</v>
      </c>
      <c r="C27" s="550" t="s">
        <v>3114</v>
      </c>
      <c r="D27" s="532" t="s">
        <v>48</v>
      </c>
      <c r="E27" s="424" t="s">
        <v>2622</v>
      </c>
      <c r="F27" s="424" t="s">
        <v>2622</v>
      </c>
      <c r="G27" s="424" t="s">
        <v>2622</v>
      </c>
      <c r="H27" s="424" t="s">
        <v>2622</v>
      </c>
      <c r="I27" s="424" t="s">
        <v>2622</v>
      </c>
      <c r="J27" s="424" t="s">
        <v>2622</v>
      </c>
      <c r="K27" s="424" t="s">
        <v>2622</v>
      </c>
      <c r="L27" s="424" t="s">
        <v>2622</v>
      </c>
      <c r="M27" s="424" t="s">
        <v>2622</v>
      </c>
      <c r="N27" s="424" t="s">
        <v>2622</v>
      </c>
      <c r="O27" s="546"/>
      <c r="P27" s="178" t="str">
        <f t="shared" si="1"/>
        <v>NA</v>
      </c>
      <c r="Q27" s="179" t="str">
        <f t="shared" si="2"/>
        <v>NA</v>
      </c>
    </row>
    <row r="28" spans="1:17" s="270" customFormat="1" ht="10.35" hidden="1" customHeight="1" x14ac:dyDescent="0.25">
      <c r="A28" s="143" t="s">
        <v>1763</v>
      </c>
      <c r="B28" s="549" t="s">
        <v>1172</v>
      </c>
      <c r="C28" s="550" t="s">
        <v>3115</v>
      </c>
      <c r="D28" s="532" t="s">
        <v>48</v>
      </c>
      <c r="E28" s="424" t="s">
        <v>2622</v>
      </c>
      <c r="F28" s="424" t="s">
        <v>2622</v>
      </c>
      <c r="G28" s="424" t="s">
        <v>2622</v>
      </c>
      <c r="H28" s="424" t="s">
        <v>2622</v>
      </c>
      <c r="I28" s="424" t="s">
        <v>2622</v>
      </c>
      <c r="J28" s="424" t="s">
        <v>2622</v>
      </c>
      <c r="K28" s="424" t="s">
        <v>2622</v>
      </c>
      <c r="L28" s="424" t="s">
        <v>2622</v>
      </c>
      <c r="M28" s="424" t="s">
        <v>2622</v>
      </c>
      <c r="N28" s="424" t="s">
        <v>2622</v>
      </c>
      <c r="O28" s="546"/>
      <c r="P28" s="178" t="str">
        <f t="shared" si="1"/>
        <v>NA</v>
      </c>
      <c r="Q28" s="179" t="str">
        <f t="shared" si="2"/>
        <v>NA</v>
      </c>
    </row>
    <row r="29" spans="1:17" s="270" customFormat="1" ht="10.35" hidden="1" customHeight="1" x14ac:dyDescent="0.25">
      <c r="A29" s="143" t="s">
        <v>1764</v>
      </c>
      <c r="B29" s="549" t="s">
        <v>1173</v>
      </c>
      <c r="C29" s="550" t="s">
        <v>3116</v>
      </c>
      <c r="D29" s="532" t="s">
        <v>48</v>
      </c>
      <c r="E29" s="424" t="s">
        <v>2622</v>
      </c>
      <c r="F29" s="424" t="s">
        <v>2622</v>
      </c>
      <c r="G29" s="424" t="s">
        <v>2622</v>
      </c>
      <c r="H29" s="424" t="s">
        <v>2622</v>
      </c>
      <c r="I29" s="424" t="s">
        <v>2622</v>
      </c>
      <c r="J29" s="424" t="s">
        <v>2622</v>
      </c>
      <c r="K29" s="424" t="s">
        <v>2622</v>
      </c>
      <c r="L29" s="424" t="s">
        <v>2622</v>
      </c>
      <c r="M29" s="424" t="s">
        <v>2622</v>
      </c>
      <c r="N29" s="424" t="s">
        <v>2622</v>
      </c>
      <c r="O29" s="546"/>
      <c r="P29" s="178" t="str">
        <f t="shared" si="1"/>
        <v>NA</v>
      </c>
      <c r="Q29" s="179" t="str">
        <f t="shared" si="2"/>
        <v>NA</v>
      </c>
    </row>
    <row r="30" spans="1:17" s="270" customFormat="1" ht="10.35" hidden="1" customHeight="1" x14ac:dyDescent="0.25">
      <c r="A30" s="143" t="s">
        <v>1765</v>
      </c>
      <c r="B30" s="549" t="s">
        <v>1174</v>
      </c>
      <c r="C30" s="550" t="s">
        <v>3117</v>
      </c>
      <c r="D30" s="532" t="s">
        <v>48</v>
      </c>
      <c r="E30" s="424" t="s">
        <v>2622</v>
      </c>
      <c r="F30" s="424" t="s">
        <v>2622</v>
      </c>
      <c r="G30" s="424" t="s">
        <v>2622</v>
      </c>
      <c r="H30" s="424" t="s">
        <v>2622</v>
      </c>
      <c r="I30" s="424" t="s">
        <v>2622</v>
      </c>
      <c r="J30" s="424" t="s">
        <v>2622</v>
      </c>
      <c r="K30" s="424" t="s">
        <v>2622</v>
      </c>
      <c r="L30" s="424" t="s">
        <v>2622</v>
      </c>
      <c r="M30" s="424" t="s">
        <v>2622</v>
      </c>
      <c r="N30" s="424" t="s">
        <v>2622</v>
      </c>
      <c r="O30" s="546"/>
      <c r="P30" s="178" t="str">
        <f t="shared" si="1"/>
        <v>NA</v>
      </c>
      <c r="Q30" s="179" t="str">
        <f t="shared" si="2"/>
        <v>NA</v>
      </c>
    </row>
    <row r="31" spans="1:17" s="270" customFormat="1" ht="10.35" hidden="1" customHeight="1" x14ac:dyDescent="0.25">
      <c r="A31" s="143" t="s">
        <v>1766</v>
      </c>
      <c r="B31" s="549" t="s">
        <v>1175</v>
      </c>
      <c r="C31" s="550" t="s">
        <v>3118</v>
      </c>
      <c r="D31" s="532" t="s">
        <v>48</v>
      </c>
      <c r="E31" s="424" t="s">
        <v>2622</v>
      </c>
      <c r="F31" s="424" t="s">
        <v>2622</v>
      </c>
      <c r="G31" s="424" t="s">
        <v>2622</v>
      </c>
      <c r="H31" s="424" t="s">
        <v>2622</v>
      </c>
      <c r="I31" s="424" t="s">
        <v>2622</v>
      </c>
      <c r="J31" s="424" t="s">
        <v>2622</v>
      </c>
      <c r="K31" s="424" t="s">
        <v>2622</v>
      </c>
      <c r="L31" s="424" t="s">
        <v>2622</v>
      </c>
      <c r="M31" s="424" t="s">
        <v>2622</v>
      </c>
      <c r="N31" s="424" t="s">
        <v>2622</v>
      </c>
      <c r="O31" s="546"/>
      <c r="P31" s="178" t="str">
        <f t="shared" si="1"/>
        <v>NA</v>
      </c>
      <c r="Q31" s="179" t="str">
        <f t="shared" si="2"/>
        <v>NA</v>
      </c>
    </row>
    <row r="32" spans="1:17" s="270" customFormat="1" ht="10.35" hidden="1" customHeight="1" x14ac:dyDescent="0.25">
      <c r="A32" s="143" t="s">
        <v>1767</v>
      </c>
      <c r="B32" s="549" t="s">
        <v>1176</v>
      </c>
      <c r="C32" s="550" t="s">
        <v>3119</v>
      </c>
      <c r="D32" s="532" t="s">
        <v>48</v>
      </c>
      <c r="E32" s="424" t="s">
        <v>2622</v>
      </c>
      <c r="F32" s="424" t="s">
        <v>2622</v>
      </c>
      <c r="G32" s="424" t="s">
        <v>2622</v>
      </c>
      <c r="H32" s="424" t="s">
        <v>2622</v>
      </c>
      <c r="I32" s="424" t="s">
        <v>2622</v>
      </c>
      <c r="J32" s="424" t="s">
        <v>2622</v>
      </c>
      <c r="K32" s="424" t="s">
        <v>2622</v>
      </c>
      <c r="L32" s="424" t="s">
        <v>2622</v>
      </c>
      <c r="M32" s="424" t="s">
        <v>2622</v>
      </c>
      <c r="N32" s="424" t="s">
        <v>2622</v>
      </c>
      <c r="O32" s="546"/>
      <c r="P32" s="178" t="str">
        <f t="shared" si="1"/>
        <v>NA</v>
      </c>
      <c r="Q32" s="179" t="str">
        <f t="shared" si="2"/>
        <v>NA</v>
      </c>
    </row>
    <row r="33" spans="1:19" s="270" customFormat="1" ht="10.35" hidden="1" customHeight="1" x14ac:dyDescent="0.25">
      <c r="A33" s="143" t="s">
        <v>1768</v>
      </c>
      <c r="B33" s="549" t="s">
        <v>1177</v>
      </c>
      <c r="C33" s="550" t="s">
        <v>3120</v>
      </c>
      <c r="D33" s="532" t="s">
        <v>48</v>
      </c>
      <c r="E33" s="424" t="s">
        <v>2622</v>
      </c>
      <c r="F33" s="424" t="s">
        <v>2622</v>
      </c>
      <c r="G33" s="424" t="s">
        <v>2622</v>
      </c>
      <c r="H33" s="424" t="s">
        <v>2622</v>
      </c>
      <c r="I33" s="424" t="s">
        <v>2622</v>
      </c>
      <c r="J33" s="424" t="s">
        <v>2622</v>
      </c>
      <c r="K33" s="424" t="s">
        <v>2622</v>
      </c>
      <c r="L33" s="424" t="s">
        <v>2622</v>
      </c>
      <c r="M33" s="424" t="s">
        <v>2622</v>
      </c>
      <c r="N33" s="424" t="s">
        <v>2622</v>
      </c>
      <c r="O33" s="546"/>
      <c r="P33" s="178" t="str">
        <f t="shared" si="1"/>
        <v>NA</v>
      </c>
      <c r="Q33" s="179" t="str">
        <f t="shared" si="2"/>
        <v>NA</v>
      </c>
    </row>
    <row r="34" spans="1:19" ht="15" hidden="1" customHeight="1" x14ac:dyDescent="0.25">
      <c r="A34" s="143" t="s">
        <v>1769</v>
      </c>
      <c r="B34" s="547" t="s">
        <v>1178</v>
      </c>
      <c r="C34" s="601" t="s">
        <v>3121</v>
      </c>
      <c r="D34" s="532" t="s">
        <v>48</v>
      </c>
      <c r="E34" s="424" t="s">
        <v>2622</v>
      </c>
      <c r="F34" s="424" t="s">
        <v>2622</v>
      </c>
      <c r="G34" s="424" t="s">
        <v>2622</v>
      </c>
      <c r="H34" s="424" t="s">
        <v>2622</v>
      </c>
      <c r="I34" s="424" t="s">
        <v>2622</v>
      </c>
      <c r="J34" s="424" t="s">
        <v>2622</v>
      </c>
      <c r="K34" s="424" t="s">
        <v>2622</v>
      </c>
      <c r="L34" s="424" t="s">
        <v>2622</v>
      </c>
      <c r="M34" s="424" t="s">
        <v>2622</v>
      </c>
      <c r="N34" s="424" t="s">
        <v>2622</v>
      </c>
      <c r="O34" s="546"/>
      <c r="P34" s="178" t="str">
        <f t="shared" si="1"/>
        <v>NA</v>
      </c>
      <c r="Q34" s="179" t="str">
        <f t="shared" si="2"/>
        <v>NA</v>
      </c>
    </row>
    <row r="35" spans="1:19" ht="15" hidden="1" customHeight="1" x14ac:dyDescent="0.25">
      <c r="A35" s="143" t="s">
        <v>1770</v>
      </c>
      <c r="B35" s="627" t="s">
        <v>1179</v>
      </c>
      <c r="C35" s="628" t="s">
        <v>3122</v>
      </c>
      <c r="D35" s="537" t="s">
        <v>48</v>
      </c>
      <c r="E35" s="424" t="s">
        <v>2622</v>
      </c>
      <c r="F35" s="424" t="s">
        <v>2622</v>
      </c>
      <c r="G35" s="424" t="s">
        <v>2622</v>
      </c>
      <c r="H35" s="424" t="s">
        <v>2622</v>
      </c>
      <c r="I35" s="424" t="s">
        <v>2622</v>
      </c>
      <c r="J35" s="424" t="s">
        <v>2622</v>
      </c>
      <c r="K35" s="424" t="s">
        <v>2622</v>
      </c>
      <c r="L35" s="424" t="s">
        <v>2622</v>
      </c>
      <c r="M35" s="424" t="s">
        <v>2622</v>
      </c>
      <c r="N35" s="424" t="s">
        <v>2622</v>
      </c>
      <c r="O35" s="546"/>
      <c r="P35" s="178" t="str">
        <f t="shared" si="1"/>
        <v>NA</v>
      </c>
      <c r="Q35" s="179" t="str">
        <f t="shared" si="2"/>
        <v>NA</v>
      </c>
    </row>
    <row r="36" spans="1:19" ht="15" customHeight="1" x14ac:dyDescent="0.25">
      <c r="A36" s="143"/>
      <c r="B36" s="591" t="s">
        <v>990</v>
      </c>
      <c r="C36" s="568" t="s">
        <v>2768</v>
      </c>
      <c r="D36" s="532" t="s">
        <v>48</v>
      </c>
      <c r="E36" s="635" t="s">
        <v>990</v>
      </c>
      <c r="F36" s="635" t="s">
        <v>990</v>
      </c>
      <c r="G36" s="635" t="s">
        <v>990</v>
      </c>
      <c r="H36" s="636" t="s">
        <v>990</v>
      </c>
      <c r="I36" s="635" t="s">
        <v>990</v>
      </c>
      <c r="J36" s="635" t="s">
        <v>990</v>
      </c>
      <c r="K36" s="636" t="s">
        <v>990</v>
      </c>
      <c r="L36" s="635" t="s">
        <v>990</v>
      </c>
      <c r="M36" s="637" t="s">
        <v>990</v>
      </c>
      <c r="N36" s="635" t="s">
        <v>990</v>
      </c>
      <c r="O36" s="546"/>
      <c r="P36" s="178">
        <f t="shared" si="1"/>
        <v>0</v>
      </c>
      <c r="Q36" s="179">
        <f t="shared" si="2"/>
        <v>0</v>
      </c>
    </row>
    <row r="37" spans="1:19" ht="10.9" customHeight="1" x14ac:dyDescent="0.25">
      <c r="A37" s="142" t="s">
        <v>1771</v>
      </c>
      <c r="B37" s="536" t="s">
        <v>68</v>
      </c>
      <c r="C37" s="563" t="s">
        <v>3123</v>
      </c>
      <c r="D37" s="537" t="s">
        <v>48</v>
      </c>
      <c r="E37" s="153">
        <v>-15212.988943999995</v>
      </c>
      <c r="F37" s="153">
        <v>-187.053619</v>
      </c>
      <c r="G37" s="153">
        <v>0</v>
      </c>
      <c r="H37" s="153">
        <v>-15400.042562999994</v>
      </c>
      <c r="I37" s="153">
        <v>-59.984735000000001</v>
      </c>
      <c r="J37" s="153">
        <v>-110.20815400000001</v>
      </c>
      <c r="K37" s="153">
        <v>-970.41367300000002</v>
      </c>
      <c r="L37" s="153">
        <v>0</v>
      </c>
      <c r="M37" s="153">
        <f>H37+I37+J37+K37+L37</f>
        <v>-16540.649124999993</v>
      </c>
      <c r="N37" s="153">
        <f>H37+I37</f>
        <v>-15460.027297999994</v>
      </c>
      <c r="O37" s="546"/>
      <c r="P37" s="188">
        <f>IF(OR(H37="NA",E37="NA",F37="NA",G37="NA"),"NA",SUM(H37)-SUM(E37:G37))</f>
        <v>1.8189894035458565E-12</v>
      </c>
      <c r="Q37" s="189">
        <f>IF(OR(M37="NA",H37="NA",I37="NA",J37="NA",K37="NA",L37="NA"),"NA",SUM(M37)-SUM(H37:L37))</f>
        <v>0</v>
      </c>
    </row>
    <row r="38" spans="1:19" ht="10.9" hidden="1" customHeight="1" x14ac:dyDescent="0.25">
      <c r="A38" s="143" t="s">
        <v>2038</v>
      </c>
      <c r="B38" s="549" t="s">
        <v>69</v>
      </c>
      <c r="C38" s="550" t="s">
        <v>3124</v>
      </c>
      <c r="D38" s="532" t="s">
        <v>48</v>
      </c>
      <c r="E38" s="424" t="s">
        <v>2622</v>
      </c>
      <c r="F38" s="424" t="s">
        <v>2622</v>
      </c>
      <c r="G38" s="424" t="s">
        <v>2622</v>
      </c>
      <c r="H38" s="424" t="s">
        <v>2622</v>
      </c>
      <c r="I38" s="424" t="s">
        <v>2622</v>
      </c>
      <c r="J38" s="424" t="s">
        <v>2622</v>
      </c>
      <c r="K38" s="424" t="s">
        <v>2622</v>
      </c>
      <c r="L38" s="424" t="s">
        <v>2622</v>
      </c>
      <c r="M38" s="424" t="s">
        <v>2622</v>
      </c>
      <c r="N38" s="424" t="s">
        <v>2622</v>
      </c>
      <c r="O38" s="546"/>
      <c r="P38" s="178" t="str">
        <f>IF(OR(H38="NA",E38="NA",F38="NA",G38="NA"),"NA",SUM(H38)-SUM(E38:G38))</f>
        <v>NA</v>
      </c>
      <c r="Q38" s="179" t="str">
        <f>IF(OR(M38="NA",H38="NA",I38="NA",J38="NA",K38="NA",L38="NA"),"NA",SUM(M38)-SUM(H38:L38))</f>
        <v>NA</v>
      </c>
    </row>
    <row r="39" spans="1:19" ht="10.9" hidden="1" customHeight="1" x14ac:dyDescent="0.25">
      <c r="A39" s="143" t="s">
        <v>2039</v>
      </c>
      <c r="B39" s="549" t="s">
        <v>661</v>
      </c>
      <c r="C39" s="602" t="s">
        <v>3125</v>
      </c>
      <c r="D39" s="532" t="s">
        <v>48</v>
      </c>
      <c r="E39" s="424" t="s">
        <v>2622</v>
      </c>
      <c r="F39" s="424" t="s">
        <v>2622</v>
      </c>
      <c r="G39" s="424" t="s">
        <v>2622</v>
      </c>
      <c r="H39" s="424" t="s">
        <v>2622</v>
      </c>
      <c r="I39" s="424" t="s">
        <v>2622</v>
      </c>
      <c r="J39" s="424" t="s">
        <v>2622</v>
      </c>
      <c r="K39" s="424" t="s">
        <v>2622</v>
      </c>
      <c r="L39" s="424" t="s">
        <v>2622</v>
      </c>
      <c r="M39" s="424" t="s">
        <v>2622</v>
      </c>
      <c r="N39" s="424" t="s">
        <v>2622</v>
      </c>
      <c r="O39" s="546"/>
      <c r="P39" s="178" t="str">
        <f>IF(OR(H39="NA",E39="NA",F39="NA",G39="NA"),"NA",SUM(H39)-SUM(E39:G39))</f>
        <v>NA</v>
      </c>
      <c r="Q39" s="179" t="str">
        <f>IF(OR(M39="NA",H39="NA",I39="NA",J39="NA",K39="NA",L39="NA"),"NA",SUM(M39)-SUM(H39:L39))</f>
        <v>NA</v>
      </c>
      <c r="R39" s="165"/>
      <c r="S39" s="165"/>
    </row>
    <row r="40" spans="1:19" ht="10.9" hidden="1" customHeight="1" x14ac:dyDescent="0.25">
      <c r="A40" s="143" t="s">
        <v>2040</v>
      </c>
      <c r="B40" s="549" t="s">
        <v>662</v>
      </c>
      <c r="C40" s="602" t="s">
        <v>3126</v>
      </c>
      <c r="D40" s="532" t="s">
        <v>48</v>
      </c>
      <c r="E40" s="424" t="s">
        <v>2622</v>
      </c>
      <c r="F40" s="424" t="s">
        <v>2622</v>
      </c>
      <c r="G40" s="424" t="s">
        <v>2622</v>
      </c>
      <c r="H40" s="424" t="s">
        <v>2622</v>
      </c>
      <c r="I40" s="424" t="s">
        <v>2622</v>
      </c>
      <c r="J40" s="424" t="s">
        <v>2622</v>
      </c>
      <c r="K40" s="424" t="s">
        <v>2622</v>
      </c>
      <c r="L40" s="424" t="s">
        <v>2622</v>
      </c>
      <c r="M40" s="424" t="s">
        <v>2622</v>
      </c>
      <c r="N40" s="424" t="s">
        <v>2622</v>
      </c>
      <c r="O40" s="546"/>
      <c r="P40" s="178" t="str">
        <f>IF(OR(H40="NA",E40="NA",F40="NA",G40="NA"),"NA",SUM(H40)-SUM(E40:G40))</f>
        <v>NA</v>
      </c>
      <c r="Q40" s="179" t="str">
        <f>IF(OR(M40="NA",H40="NA",I40="NA",J40="NA",K40="NA",L40="NA"),"NA",SUM(M40)-SUM(H40:L40))</f>
        <v>NA</v>
      </c>
      <c r="R40" s="165"/>
      <c r="S40" s="165"/>
    </row>
    <row r="41" spans="1:19" ht="10.9" hidden="1" customHeight="1" x14ac:dyDescent="0.25">
      <c r="A41" s="143" t="s">
        <v>2041</v>
      </c>
      <c r="B41" s="536" t="s">
        <v>663</v>
      </c>
      <c r="C41" s="608" t="s">
        <v>3127</v>
      </c>
      <c r="D41" s="537" t="s">
        <v>48</v>
      </c>
      <c r="E41" s="424" t="s">
        <v>2622</v>
      </c>
      <c r="F41" s="424" t="s">
        <v>2622</v>
      </c>
      <c r="G41" s="424" t="s">
        <v>2622</v>
      </c>
      <c r="H41" s="424" t="s">
        <v>2622</v>
      </c>
      <c r="I41" s="424" t="s">
        <v>2622</v>
      </c>
      <c r="J41" s="424" t="s">
        <v>2622</v>
      </c>
      <c r="K41" s="424" t="s">
        <v>2622</v>
      </c>
      <c r="L41" s="424" t="s">
        <v>2622</v>
      </c>
      <c r="M41" s="424" t="s">
        <v>2622</v>
      </c>
      <c r="N41" s="424" t="s">
        <v>2622</v>
      </c>
      <c r="O41" s="546"/>
      <c r="P41" s="188" t="str">
        <f>IF(OR(H41="NA",E41="NA",F41="NA",G41="NA"),"NA",SUM(H41)-SUM(E41:G41))</f>
        <v>NA</v>
      </c>
      <c r="Q41" s="189" t="str">
        <f>IF(OR(M41="NA",H41="NA",I41="NA",J41="NA",K41="NA",L41="NA"),"NA",SUM(M41)-SUM(H41:L41))</f>
        <v>NA</v>
      </c>
      <c r="R41" s="165"/>
      <c r="S41" s="165"/>
    </row>
    <row r="42" spans="1:19" ht="10.35" customHeight="1" x14ac:dyDescent="0.25">
      <c r="B42" s="580"/>
      <c r="C42" s="608"/>
      <c r="D42" s="531"/>
      <c r="E42" s="581"/>
      <c r="F42" s="581"/>
      <c r="G42" s="581"/>
      <c r="H42" s="581"/>
      <c r="I42" s="581"/>
      <c r="J42" s="581"/>
      <c r="K42" s="581"/>
      <c r="L42" s="581"/>
      <c r="M42" s="581"/>
      <c r="N42" s="581"/>
      <c r="O42" s="546"/>
      <c r="P42" s="177"/>
      <c r="Q42" s="177"/>
      <c r="R42" s="165"/>
      <c r="S42" s="165"/>
    </row>
    <row r="43" spans="1:19" s="279" customFormat="1" ht="15" customHeight="1" x14ac:dyDescent="0.2">
      <c r="B43" s="717" t="s">
        <v>3130</v>
      </c>
      <c r="C43" s="195"/>
      <c r="D43" s="195"/>
      <c r="E43" s="239"/>
      <c r="F43" s="239"/>
      <c r="G43" s="239"/>
      <c r="H43" s="239"/>
      <c r="I43" s="239"/>
      <c r="J43" s="239"/>
      <c r="K43" s="239"/>
      <c r="L43" s="239"/>
      <c r="M43" s="239"/>
      <c r="N43" s="240"/>
      <c r="O43" s="259"/>
      <c r="P43" s="259"/>
      <c r="Q43" s="259"/>
      <c r="R43" s="193"/>
      <c r="S43" s="193"/>
    </row>
    <row r="44" spans="1:19" ht="12.95" customHeight="1" x14ac:dyDescent="0.25">
      <c r="B44" s="724" t="s">
        <v>2776</v>
      </c>
      <c r="C44" s="207"/>
      <c r="D44" s="103" t="s">
        <v>48</v>
      </c>
      <c r="E44" s="242"/>
      <c r="F44" s="242"/>
      <c r="G44" s="242"/>
      <c r="H44" s="242"/>
      <c r="I44" s="242"/>
      <c r="J44" s="242"/>
      <c r="K44" s="242"/>
      <c r="L44" s="242"/>
      <c r="M44" s="242"/>
      <c r="N44" s="242"/>
      <c r="O44" s="177"/>
      <c r="P44" s="177"/>
      <c r="Q44" s="177"/>
      <c r="R44" s="165"/>
      <c r="S44" s="165"/>
    </row>
    <row r="45" spans="1:19" ht="10.35" customHeight="1" x14ac:dyDescent="0.25">
      <c r="B45" s="273"/>
      <c r="C45" s="136" t="s">
        <v>794</v>
      </c>
      <c r="D45" s="103" t="s">
        <v>48</v>
      </c>
      <c r="E45" s="243">
        <f t="shared" ref="E45:N45" si="3">IF(OR(E8="NA",E9="NA",E14="NA",E25="NA"),"NA",-SUM(E8)+SUM(E9)+SUM(E14)-SUM(E25))</f>
        <v>6.8212102632969618E-13</v>
      </c>
      <c r="F45" s="243">
        <f t="shared" si="3"/>
        <v>3.5527136788005009E-14</v>
      </c>
      <c r="G45" s="243">
        <f t="shared" si="3"/>
        <v>0</v>
      </c>
      <c r="H45" s="243">
        <f t="shared" si="3"/>
        <v>-2.2737367544323206E-13</v>
      </c>
      <c r="I45" s="243">
        <f t="shared" si="3"/>
        <v>5.6843418860808015E-14</v>
      </c>
      <c r="J45" s="243">
        <f t="shared" si="3"/>
        <v>-7.1054273576010019E-15</v>
      </c>
      <c r="K45" s="243">
        <f t="shared" si="3"/>
        <v>-4.2632564145606011E-14</v>
      </c>
      <c r="L45" s="243">
        <f t="shared" si="3"/>
        <v>0</v>
      </c>
      <c r="M45" s="243">
        <f t="shared" si="3"/>
        <v>-9.0949470177292824E-13</v>
      </c>
      <c r="N45" s="243">
        <f t="shared" si="3"/>
        <v>-2.2737367544323206E-13</v>
      </c>
      <c r="O45" s="177"/>
      <c r="P45" s="177"/>
      <c r="Q45" s="177"/>
      <c r="R45" s="165"/>
      <c r="S45" s="165"/>
    </row>
    <row r="46" spans="1:19" ht="10.35" hidden="1" customHeight="1" x14ac:dyDescent="0.25">
      <c r="B46" s="274"/>
      <c r="C46" s="136" t="s">
        <v>795</v>
      </c>
      <c r="D46" s="76" t="s">
        <v>48</v>
      </c>
      <c r="E46" s="243" t="str">
        <f t="shared" ref="E46:N46" si="4">IF(OR(E9="NA",E10="NA",E11="NA",E12="NA",E13="NA"),"NA",-SUM(E9)+SUM(E10)+SUM(E11)+SUM(E12)+SUM(E13))</f>
        <v>NA</v>
      </c>
      <c r="F46" s="243" t="str">
        <f t="shared" si="4"/>
        <v>NA</v>
      </c>
      <c r="G46" s="243" t="str">
        <f t="shared" si="4"/>
        <v>NA</v>
      </c>
      <c r="H46" s="243" t="str">
        <f t="shared" si="4"/>
        <v>NA</v>
      </c>
      <c r="I46" s="243" t="str">
        <f t="shared" si="4"/>
        <v>NA</v>
      </c>
      <c r="J46" s="243" t="str">
        <f t="shared" si="4"/>
        <v>NA</v>
      </c>
      <c r="K46" s="243" t="str">
        <f t="shared" si="4"/>
        <v>NA</v>
      </c>
      <c r="L46" s="243" t="str">
        <f t="shared" si="4"/>
        <v>NA</v>
      </c>
      <c r="M46" s="243" t="str">
        <f t="shared" si="4"/>
        <v>NA</v>
      </c>
      <c r="N46" s="243" t="str">
        <f t="shared" si="4"/>
        <v>NA</v>
      </c>
      <c r="O46" s="177"/>
      <c r="P46" s="177"/>
      <c r="Q46" s="177"/>
      <c r="R46" s="165"/>
      <c r="S46" s="165"/>
    </row>
    <row r="47" spans="1:19" ht="10.35" hidden="1" customHeight="1" x14ac:dyDescent="0.25">
      <c r="B47" s="210"/>
      <c r="C47" s="136" t="s">
        <v>799</v>
      </c>
      <c r="D47" s="76" t="s">
        <v>48</v>
      </c>
      <c r="E47" s="243" t="str">
        <f t="shared" ref="E47:N47" si="5">IF(OR(E14="NA",E23="NA",E24="NA"),"NA",-SUM(E14)+SUM(E23)+SUM(E24))</f>
        <v>NA</v>
      </c>
      <c r="F47" s="243" t="str">
        <f t="shared" si="5"/>
        <v>NA</v>
      </c>
      <c r="G47" s="243" t="str">
        <f t="shared" si="5"/>
        <v>NA</v>
      </c>
      <c r="H47" s="243" t="str">
        <f t="shared" si="5"/>
        <v>NA</v>
      </c>
      <c r="I47" s="243" t="str">
        <f t="shared" si="5"/>
        <v>NA</v>
      </c>
      <c r="J47" s="243" t="str">
        <f t="shared" si="5"/>
        <v>NA</v>
      </c>
      <c r="K47" s="243" t="str">
        <f t="shared" si="5"/>
        <v>NA</v>
      </c>
      <c r="L47" s="243" t="str">
        <f t="shared" si="5"/>
        <v>NA</v>
      </c>
      <c r="M47" s="243" t="str">
        <f t="shared" si="5"/>
        <v>NA</v>
      </c>
      <c r="N47" s="243" t="str">
        <f t="shared" si="5"/>
        <v>NA</v>
      </c>
      <c r="O47" s="177"/>
      <c r="P47" s="177"/>
      <c r="Q47" s="177"/>
      <c r="R47" s="165"/>
      <c r="S47" s="165"/>
    </row>
    <row r="48" spans="1:19" ht="10.35" hidden="1" customHeight="1" x14ac:dyDescent="0.25">
      <c r="B48" s="210"/>
      <c r="C48" s="136" t="s">
        <v>800</v>
      </c>
      <c r="D48" s="76" t="s">
        <v>48</v>
      </c>
      <c r="E48" s="243" t="str">
        <f t="shared" ref="E48:N48" si="6">IF(OR(E14="NA",E15="NA",E16="NA",E17="NA",E18="NA",E19="NA",E20="NA",E21="NA",E22="NA"),"NA",-SUM(E14)+SUM(E15)+SUM(E16)+SUM(E17)+SUM(E18)+SUM(E19)+SUM(E20)+SUM(E21)+SUM(E22))</f>
        <v>NA</v>
      </c>
      <c r="F48" s="243" t="str">
        <f t="shared" si="6"/>
        <v>NA</v>
      </c>
      <c r="G48" s="243" t="str">
        <f t="shared" si="6"/>
        <v>NA</v>
      </c>
      <c r="H48" s="243" t="str">
        <f t="shared" si="6"/>
        <v>NA</v>
      </c>
      <c r="I48" s="243" t="str">
        <f t="shared" si="6"/>
        <v>NA</v>
      </c>
      <c r="J48" s="243" t="str">
        <f t="shared" si="6"/>
        <v>NA</v>
      </c>
      <c r="K48" s="243" t="str">
        <f t="shared" si="6"/>
        <v>NA</v>
      </c>
      <c r="L48" s="243" t="str">
        <f t="shared" si="6"/>
        <v>NA</v>
      </c>
      <c r="M48" s="243" t="str">
        <f t="shared" si="6"/>
        <v>NA</v>
      </c>
      <c r="N48" s="243" t="str">
        <f t="shared" si="6"/>
        <v>NA</v>
      </c>
      <c r="O48" s="177"/>
      <c r="P48" s="177"/>
      <c r="Q48" s="177"/>
      <c r="R48" s="165"/>
      <c r="S48" s="165"/>
    </row>
    <row r="49" spans="2:19" ht="10.35" hidden="1" customHeight="1" x14ac:dyDescent="0.25">
      <c r="B49" s="210"/>
      <c r="C49" s="207" t="s">
        <v>796</v>
      </c>
      <c r="D49" s="103" t="s">
        <v>48</v>
      </c>
      <c r="E49" s="243" t="str">
        <f t="shared" ref="E49:N49" si="7">IF(OR(E25="NA",E34="NA",E35="NA"),"NA",-SUM(E25)+SUM(E34)+SUM(E35))</f>
        <v>NA</v>
      </c>
      <c r="F49" s="243" t="str">
        <f t="shared" si="7"/>
        <v>NA</v>
      </c>
      <c r="G49" s="243" t="str">
        <f t="shared" si="7"/>
        <v>NA</v>
      </c>
      <c r="H49" s="243" t="str">
        <f t="shared" si="7"/>
        <v>NA</v>
      </c>
      <c r="I49" s="243" t="str">
        <f t="shared" si="7"/>
        <v>NA</v>
      </c>
      <c r="J49" s="243" t="str">
        <f t="shared" si="7"/>
        <v>NA</v>
      </c>
      <c r="K49" s="243" t="str">
        <f t="shared" si="7"/>
        <v>NA</v>
      </c>
      <c r="L49" s="243" t="str">
        <f t="shared" si="7"/>
        <v>NA</v>
      </c>
      <c r="M49" s="243" t="str">
        <f t="shared" si="7"/>
        <v>NA</v>
      </c>
      <c r="N49" s="243" t="str">
        <f t="shared" si="7"/>
        <v>NA</v>
      </c>
      <c r="O49" s="177"/>
      <c r="P49" s="177"/>
      <c r="Q49" s="177"/>
      <c r="R49" s="165"/>
      <c r="S49" s="165"/>
    </row>
    <row r="50" spans="2:19" ht="10.35" hidden="1" customHeight="1" x14ac:dyDescent="0.25">
      <c r="B50" s="210"/>
      <c r="C50" s="136" t="s">
        <v>797</v>
      </c>
      <c r="D50" s="103" t="s">
        <v>48</v>
      </c>
      <c r="E50" s="243" t="str">
        <f t="shared" ref="E50:N50" si="8">IF(OR(E25="NA",E26="NA",E27="NA",E28="NA",E29="NA",E30="NA",E31="NA",E32="NA",E33="NA"),"NA",-SUM(E25)+SUM(E26)+SUM(E27)+SUM(E28)+SUM(E29)+SUM(E30)+SUM(E31)+SUM(E32)+SUM(E33))</f>
        <v>NA</v>
      </c>
      <c r="F50" s="243" t="str">
        <f t="shared" si="8"/>
        <v>NA</v>
      </c>
      <c r="G50" s="243" t="str">
        <f t="shared" si="8"/>
        <v>NA</v>
      </c>
      <c r="H50" s="243" t="str">
        <f t="shared" si="8"/>
        <v>NA</v>
      </c>
      <c r="I50" s="243" t="str">
        <f t="shared" si="8"/>
        <v>NA</v>
      </c>
      <c r="J50" s="243" t="str">
        <f t="shared" si="8"/>
        <v>NA</v>
      </c>
      <c r="K50" s="243" t="str">
        <f t="shared" si="8"/>
        <v>NA</v>
      </c>
      <c r="L50" s="243" t="str">
        <f t="shared" si="8"/>
        <v>NA</v>
      </c>
      <c r="M50" s="243" t="str">
        <f t="shared" si="8"/>
        <v>NA</v>
      </c>
      <c r="N50" s="243" t="str">
        <f t="shared" si="8"/>
        <v>NA</v>
      </c>
      <c r="O50" s="177"/>
      <c r="P50" s="177"/>
      <c r="Q50" s="177"/>
      <c r="R50" s="165"/>
      <c r="S50" s="165"/>
    </row>
    <row r="51" spans="2:19" ht="10.35" customHeight="1" x14ac:dyDescent="0.25">
      <c r="B51" s="210"/>
      <c r="C51" s="136" t="s">
        <v>798</v>
      </c>
      <c r="D51" s="103"/>
      <c r="E51" s="243">
        <f t="shared" ref="E51:N51" si="9">IF(OR(E37="NA",E14="NA",E25="NA"),"NA",-SUM(E37)+SUM(E14)-SUM(E25))</f>
        <v>6.8212102632969618E-13</v>
      </c>
      <c r="F51" s="243">
        <f t="shared" si="9"/>
        <v>7.1054273576010019E-15</v>
      </c>
      <c r="G51" s="243">
        <f t="shared" si="9"/>
        <v>0</v>
      </c>
      <c r="H51" s="243">
        <f t="shared" si="9"/>
        <v>-2.2737367544323206E-13</v>
      </c>
      <c r="I51" s="243">
        <f t="shared" si="9"/>
        <v>0</v>
      </c>
      <c r="J51" s="243">
        <f t="shared" si="9"/>
        <v>-7.1054273576010019E-15</v>
      </c>
      <c r="K51" s="243">
        <f t="shared" si="9"/>
        <v>-4.2632564145606011E-14</v>
      </c>
      <c r="L51" s="243">
        <f t="shared" si="9"/>
        <v>0</v>
      </c>
      <c r="M51" s="243">
        <f t="shared" si="9"/>
        <v>-9.0949470177292824E-13</v>
      </c>
      <c r="N51" s="243">
        <f t="shared" si="9"/>
        <v>-2.2737367544323206E-13</v>
      </c>
      <c r="O51" s="177"/>
      <c r="P51" s="177"/>
      <c r="Q51" s="177"/>
      <c r="R51" s="165"/>
      <c r="S51" s="165"/>
    </row>
    <row r="52" spans="2:19" ht="10.35" hidden="1" customHeight="1" x14ac:dyDescent="0.25">
      <c r="B52" s="210"/>
      <c r="C52" s="136" t="s">
        <v>801</v>
      </c>
      <c r="D52" s="103"/>
      <c r="E52" s="243" t="str">
        <f t="shared" ref="E52:N52" si="10">IF(OR(E38="NA",E26="NA",E27="NA",E28="NA",E29="NA",E31="NA",E33="NA"),"NA",-SUM(E38)+SUM(E26)+SUM(E27)+SUM(E28)+SUM(E29)+SUM(E31)+SUM(E33))</f>
        <v>NA</v>
      </c>
      <c r="F52" s="243" t="str">
        <f t="shared" si="10"/>
        <v>NA</v>
      </c>
      <c r="G52" s="243" t="str">
        <f t="shared" si="10"/>
        <v>NA</v>
      </c>
      <c r="H52" s="243" t="str">
        <f t="shared" si="10"/>
        <v>NA</v>
      </c>
      <c r="I52" s="243" t="str">
        <f t="shared" si="10"/>
        <v>NA</v>
      </c>
      <c r="J52" s="243" t="str">
        <f t="shared" si="10"/>
        <v>NA</v>
      </c>
      <c r="K52" s="243" t="str">
        <f t="shared" si="10"/>
        <v>NA</v>
      </c>
      <c r="L52" s="243" t="str">
        <f t="shared" si="10"/>
        <v>NA</v>
      </c>
      <c r="M52" s="243" t="str">
        <f t="shared" si="10"/>
        <v>NA</v>
      </c>
      <c r="N52" s="243" t="str">
        <f t="shared" si="10"/>
        <v>NA</v>
      </c>
      <c r="O52" s="177"/>
      <c r="P52" s="177"/>
      <c r="Q52" s="177"/>
      <c r="R52" s="165"/>
      <c r="S52" s="165"/>
    </row>
    <row r="53" spans="2:19" ht="10.35" hidden="1" customHeight="1" x14ac:dyDescent="0.25">
      <c r="B53" s="210"/>
      <c r="C53" s="136" t="s">
        <v>802</v>
      </c>
      <c r="D53" s="103"/>
      <c r="E53" s="243" t="str">
        <f t="shared" ref="E53:N53" si="11">IF(OR(E39="NA",E26="NA",E27="NA",E28="NA",E29="NA",E33="NA"),"NA",-SUM(E39)+SUM(E26)+SUM(E27)+SUM(E28)+SUM(E29)+SUM(E33))</f>
        <v>NA</v>
      </c>
      <c r="F53" s="243" t="str">
        <f t="shared" si="11"/>
        <v>NA</v>
      </c>
      <c r="G53" s="243" t="str">
        <f t="shared" si="11"/>
        <v>NA</v>
      </c>
      <c r="H53" s="243" t="str">
        <f t="shared" si="11"/>
        <v>NA</v>
      </c>
      <c r="I53" s="243" t="str">
        <f t="shared" si="11"/>
        <v>NA</v>
      </c>
      <c r="J53" s="243" t="str">
        <f t="shared" si="11"/>
        <v>NA</v>
      </c>
      <c r="K53" s="243" t="str">
        <f t="shared" si="11"/>
        <v>NA</v>
      </c>
      <c r="L53" s="243" t="str">
        <f t="shared" si="11"/>
        <v>NA</v>
      </c>
      <c r="M53" s="243" t="str">
        <f t="shared" si="11"/>
        <v>NA</v>
      </c>
      <c r="N53" s="243" t="str">
        <f t="shared" si="11"/>
        <v>NA</v>
      </c>
      <c r="O53" s="177"/>
      <c r="P53" s="177"/>
      <c r="Q53" s="177"/>
      <c r="R53" s="165"/>
      <c r="S53" s="165"/>
    </row>
    <row r="54" spans="2:19" ht="10.35" hidden="1" customHeight="1" x14ac:dyDescent="0.25">
      <c r="B54" s="210"/>
      <c r="C54" s="136" t="s">
        <v>803</v>
      </c>
      <c r="D54" s="103"/>
      <c r="E54" s="243" t="str">
        <f t="shared" ref="E54:N54" si="12">IF(OR(E40="NA",E26="NA",E27="NA",E28="NA",E29="NA"),"NA",-SUM(E40)+SUM(E26)+SUM(E27)+SUM(E28)+SUM(E29))</f>
        <v>NA</v>
      </c>
      <c r="F54" s="243" t="str">
        <f t="shared" si="12"/>
        <v>NA</v>
      </c>
      <c r="G54" s="243" t="str">
        <f t="shared" si="12"/>
        <v>NA</v>
      </c>
      <c r="H54" s="243" t="str">
        <f t="shared" si="12"/>
        <v>NA</v>
      </c>
      <c r="I54" s="243" t="str">
        <f t="shared" si="12"/>
        <v>NA</v>
      </c>
      <c r="J54" s="243" t="str">
        <f t="shared" si="12"/>
        <v>NA</v>
      </c>
      <c r="K54" s="243" t="str">
        <f t="shared" si="12"/>
        <v>NA</v>
      </c>
      <c r="L54" s="243" t="str">
        <f t="shared" si="12"/>
        <v>NA</v>
      </c>
      <c r="M54" s="243" t="str">
        <f t="shared" si="12"/>
        <v>NA</v>
      </c>
      <c r="N54" s="243" t="str">
        <f t="shared" si="12"/>
        <v>NA</v>
      </c>
      <c r="O54" s="177"/>
      <c r="P54" s="177"/>
      <c r="Q54" s="177"/>
      <c r="R54" s="165"/>
      <c r="S54" s="165"/>
    </row>
    <row r="55" spans="2:19" ht="10.35" hidden="1" customHeight="1" x14ac:dyDescent="0.25">
      <c r="B55" s="211"/>
      <c r="C55" s="208" t="s">
        <v>804</v>
      </c>
      <c r="D55" s="140"/>
      <c r="E55" s="244" t="str">
        <f t="shared" ref="E55:N55" si="13">IF(OR(E41="NA",E28="NA",E29="NA"),"NA",-SUM(E41)+SUM(E28)+SUM(E29))</f>
        <v>NA</v>
      </c>
      <c r="F55" s="244" t="str">
        <f t="shared" si="13"/>
        <v>NA</v>
      </c>
      <c r="G55" s="244" t="str">
        <f t="shared" si="13"/>
        <v>NA</v>
      </c>
      <c r="H55" s="244" t="str">
        <f t="shared" si="13"/>
        <v>NA</v>
      </c>
      <c r="I55" s="244" t="str">
        <f t="shared" si="13"/>
        <v>NA</v>
      </c>
      <c r="J55" s="244" t="str">
        <f t="shared" si="13"/>
        <v>NA</v>
      </c>
      <c r="K55" s="244" t="str">
        <f t="shared" si="13"/>
        <v>NA</v>
      </c>
      <c r="L55" s="244" t="str">
        <f t="shared" si="13"/>
        <v>NA</v>
      </c>
      <c r="M55" s="244" t="str">
        <f t="shared" si="13"/>
        <v>NA</v>
      </c>
      <c r="N55" s="244" t="str">
        <f t="shared" si="13"/>
        <v>NA</v>
      </c>
      <c r="O55" s="177"/>
      <c r="P55" s="177"/>
      <c r="Q55" s="177"/>
      <c r="R55" s="165"/>
      <c r="S55" s="165"/>
    </row>
    <row r="56" spans="2:19" s="103" customFormat="1" ht="10.9" customHeight="1" x14ac:dyDescent="0.15">
      <c r="B56" s="200" t="s">
        <v>2777</v>
      </c>
      <c r="E56" s="212"/>
      <c r="F56" s="212"/>
      <c r="G56" s="212"/>
      <c r="H56" s="212"/>
      <c r="I56" s="212"/>
      <c r="J56" s="212"/>
      <c r="K56" s="212"/>
      <c r="L56" s="212"/>
      <c r="M56" s="212"/>
      <c r="N56" s="212"/>
      <c r="O56" s="191"/>
      <c r="P56" s="191"/>
      <c r="Q56" s="191"/>
    </row>
    <row r="57" spans="2:19" s="103" customFormat="1" ht="10.9" customHeight="1" x14ac:dyDescent="0.15">
      <c r="B57" s="200"/>
      <c r="C57" s="213" t="s">
        <v>2778</v>
      </c>
      <c r="E57" s="212"/>
      <c r="F57" s="212"/>
      <c r="G57" s="212"/>
      <c r="H57" s="212"/>
      <c r="I57" s="212"/>
      <c r="J57" s="212"/>
      <c r="K57" s="212"/>
      <c r="L57" s="212"/>
      <c r="M57" s="212"/>
      <c r="N57" s="212"/>
      <c r="O57" s="191"/>
      <c r="P57" s="191"/>
      <c r="Q57" s="191"/>
    </row>
    <row r="58" spans="2:19" s="103" customFormat="1" ht="10.9" customHeight="1" x14ac:dyDescent="0.15">
      <c r="B58" s="190"/>
      <c r="C58" s="214" t="s">
        <v>3405</v>
      </c>
      <c r="E58" s="215"/>
      <c r="F58" s="215"/>
      <c r="G58" s="203" t="str">
        <f>IF(OR(G9="NA"),"NA",IF(ROUND(SUM(G9),1)=0,"si","verificar!"))</f>
        <v>si</v>
      </c>
      <c r="H58" s="215"/>
      <c r="I58" s="215"/>
      <c r="J58" s="215"/>
      <c r="K58" s="215"/>
      <c r="L58" s="203" t="str">
        <f>IF(OR(L9="NA"),"NA",IF(ROUND(SUM(L9),1)=0,"si","verificar!"))</f>
        <v>si</v>
      </c>
      <c r="M58" s="215"/>
      <c r="N58" s="215"/>
      <c r="O58" s="191"/>
      <c r="P58" s="191"/>
      <c r="Q58" s="191"/>
    </row>
    <row r="59" spans="2:19" s="103" customFormat="1" ht="10.9" customHeight="1" x14ac:dyDescent="0.15">
      <c r="B59" s="190"/>
      <c r="C59" s="214" t="s">
        <v>3406</v>
      </c>
      <c r="E59" s="215"/>
      <c r="F59" s="215"/>
      <c r="G59" s="203" t="str">
        <f>IF(OR(G14="NA",G25="NA"),"NA",IF(ROUND(SUM(G14)-SUM(G25),1)=0,"si","verificar!"))</f>
        <v>si</v>
      </c>
      <c r="H59" s="215"/>
      <c r="I59" s="215"/>
      <c r="J59" s="215"/>
      <c r="K59" s="215"/>
      <c r="L59" s="203" t="str">
        <f>IF(OR(L14="NA",L25="NA"),"NA",IF(ROUND(SUM(L14)-SUM(L25),1)=0,"si","verificar!"))</f>
        <v>si</v>
      </c>
      <c r="M59" s="215"/>
      <c r="N59" s="215"/>
      <c r="O59" s="191"/>
      <c r="P59" s="191"/>
      <c r="Q59" s="191"/>
    </row>
    <row r="60" spans="2:19" s="103" customFormat="1" ht="10.9" hidden="1" customHeight="1" x14ac:dyDescent="0.15">
      <c r="B60" s="200"/>
      <c r="C60" s="213" t="s">
        <v>2631</v>
      </c>
      <c r="E60" s="212"/>
      <c r="F60" s="212"/>
      <c r="G60" s="216"/>
      <c r="H60" s="212"/>
      <c r="I60" s="212"/>
      <c r="J60" s="212"/>
      <c r="K60" s="212"/>
      <c r="L60" s="216"/>
      <c r="M60" s="212"/>
      <c r="N60" s="212"/>
      <c r="O60" s="191"/>
      <c r="P60" s="191"/>
      <c r="Q60" s="191"/>
    </row>
    <row r="61" spans="2:19" s="103" customFormat="1" ht="10.9" hidden="1" customHeight="1" x14ac:dyDescent="0.15">
      <c r="B61" s="190"/>
      <c r="C61" s="214" t="s">
        <v>3420</v>
      </c>
      <c r="E61" s="215"/>
      <c r="F61" s="215"/>
      <c r="G61" s="203" t="str">
        <f t="array" ref="G61">IF(OR(G9:G13="NA"),"NA",IF(AND(ROUND(G9:G13,1)=0),"yes","check!"))</f>
        <v>NA</v>
      </c>
      <c r="H61" s="215"/>
      <c r="I61" s="215"/>
      <c r="J61" s="215"/>
      <c r="K61" s="215"/>
      <c r="L61" s="203" t="str">
        <f t="array" ref="L61">IF(OR(L9:L13="NA"),"NA",IF(AND(ROUND(L9:L13,1)=0),"yes","check!"))</f>
        <v>NA</v>
      </c>
      <c r="M61" s="215"/>
      <c r="N61" s="215"/>
      <c r="O61" s="191"/>
      <c r="P61" s="191"/>
      <c r="Q61" s="191"/>
    </row>
    <row r="62" spans="2:19" s="103" customFormat="1" ht="10.9" hidden="1" customHeight="1" x14ac:dyDescent="0.15">
      <c r="B62" s="190"/>
      <c r="C62" s="214" t="s">
        <v>3421</v>
      </c>
      <c r="E62" s="215"/>
      <c r="F62" s="215"/>
      <c r="G62" s="203" t="str">
        <f>IF(OR(G24="NA"),"NA",IF(ROUND(G24,1)=0,"yes","check!"))</f>
        <v>NA</v>
      </c>
      <c r="H62" s="215"/>
      <c r="I62" s="215"/>
      <c r="J62" s="215"/>
      <c r="K62" s="215"/>
      <c r="L62" s="203" t="str">
        <f>IF(OR(L24="NA"),"NA",IF(ROUND(L24,1)=0,"yes","check!"))</f>
        <v>NA</v>
      </c>
      <c r="M62" s="215"/>
      <c r="N62" s="215"/>
      <c r="O62" s="191"/>
      <c r="P62" s="191"/>
      <c r="Q62" s="191"/>
    </row>
    <row r="63" spans="2:19" s="103" customFormat="1" ht="10.9" hidden="1" customHeight="1" x14ac:dyDescent="0.15">
      <c r="B63" s="190"/>
      <c r="C63" s="214" t="s">
        <v>3422</v>
      </c>
      <c r="E63" s="215"/>
      <c r="F63" s="215"/>
      <c r="G63" s="203" t="str">
        <f>IF(OR(G35="NA"),"NA",IF(ROUND(G35,1)=0,"yes","check!"))</f>
        <v>NA</v>
      </c>
      <c r="H63" s="215"/>
      <c r="I63" s="215"/>
      <c r="J63" s="215"/>
      <c r="K63" s="215"/>
      <c r="L63" s="203" t="str">
        <f>IF(OR(L35="NA"),"NA",IF(ROUND(L35,1)=0,"yes","check!"))</f>
        <v>NA</v>
      </c>
      <c r="M63" s="215"/>
      <c r="N63" s="215"/>
      <c r="O63" s="191"/>
      <c r="P63" s="191"/>
      <c r="Q63" s="191"/>
    </row>
    <row r="64" spans="2:19" s="103" customFormat="1" ht="10.9" hidden="1" customHeight="1" x14ac:dyDescent="0.15">
      <c r="B64" s="200"/>
      <c r="C64" s="213" t="s">
        <v>2661</v>
      </c>
      <c r="E64" s="212"/>
      <c r="F64" s="212"/>
      <c r="G64" s="216"/>
      <c r="H64" s="212"/>
      <c r="I64" s="212"/>
      <c r="J64" s="212"/>
      <c r="K64" s="212"/>
      <c r="L64" s="216"/>
      <c r="M64" s="212"/>
      <c r="N64" s="212"/>
      <c r="O64" s="191"/>
      <c r="P64" s="191"/>
      <c r="Q64" s="191"/>
    </row>
    <row r="65" spans="2:19" s="103" customFormat="1" ht="10.9" hidden="1" customHeight="1" x14ac:dyDescent="0.15">
      <c r="B65" s="190"/>
      <c r="C65" s="214" t="s">
        <v>3423</v>
      </c>
      <c r="E65" s="215"/>
      <c r="F65" s="215"/>
      <c r="G65" s="203" t="str">
        <f t="shared" ref="G65:G72" si="14">IF(OR(G15="NA",G26="NA"),"NA",IF(ROUND(G15,1)=ROUND(G26,1),"yes","check!"))</f>
        <v>NA</v>
      </c>
      <c r="H65" s="215"/>
      <c r="I65" s="215"/>
      <c r="J65" s="215"/>
      <c r="K65" s="215"/>
      <c r="L65" s="203" t="str">
        <f t="shared" ref="L65:L72" si="15">IF(OR(L15="NA",L26="NA"),"NA",IF(ROUND(L15,1)=ROUND(L26,1),"yes","check!"))</f>
        <v>NA</v>
      </c>
      <c r="M65" s="215"/>
      <c r="N65" s="215"/>
      <c r="O65" s="191"/>
      <c r="P65" s="191"/>
      <c r="Q65" s="191"/>
    </row>
    <row r="66" spans="2:19" s="103" customFormat="1" ht="10.9" hidden="1" customHeight="1" x14ac:dyDescent="0.15">
      <c r="B66" s="190"/>
      <c r="C66" s="214" t="s">
        <v>3424</v>
      </c>
      <c r="E66" s="215"/>
      <c r="F66" s="215"/>
      <c r="G66" s="203" t="str">
        <f t="shared" si="14"/>
        <v>NA</v>
      </c>
      <c r="H66" s="215"/>
      <c r="I66" s="215"/>
      <c r="J66" s="215"/>
      <c r="K66" s="215"/>
      <c r="L66" s="203" t="str">
        <f t="shared" si="15"/>
        <v>NA</v>
      </c>
      <c r="M66" s="215"/>
      <c r="N66" s="215"/>
      <c r="O66" s="191"/>
      <c r="P66" s="191"/>
      <c r="Q66" s="191"/>
    </row>
    <row r="67" spans="2:19" s="103" customFormat="1" ht="10.9" hidden="1" customHeight="1" x14ac:dyDescent="0.15">
      <c r="B67" s="190"/>
      <c r="C67" s="214" t="s">
        <v>3425</v>
      </c>
      <c r="E67" s="215"/>
      <c r="F67" s="215"/>
      <c r="G67" s="203" t="str">
        <f t="shared" si="14"/>
        <v>NA</v>
      </c>
      <c r="H67" s="215"/>
      <c r="I67" s="215"/>
      <c r="J67" s="215"/>
      <c r="K67" s="215"/>
      <c r="L67" s="203" t="str">
        <f t="shared" si="15"/>
        <v>NA</v>
      </c>
      <c r="M67" s="215"/>
      <c r="N67" s="215"/>
      <c r="O67" s="191"/>
      <c r="P67" s="191"/>
      <c r="Q67" s="191"/>
    </row>
    <row r="68" spans="2:19" s="103" customFormat="1" ht="10.9" hidden="1" customHeight="1" x14ac:dyDescent="0.15">
      <c r="B68" s="190"/>
      <c r="C68" s="214" t="s">
        <v>3426</v>
      </c>
      <c r="E68" s="215"/>
      <c r="F68" s="215"/>
      <c r="G68" s="203" t="str">
        <f t="shared" si="14"/>
        <v>NA</v>
      </c>
      <c r="H68" s="215"/>
      <c r="I68" s="215"/>
      <c r="J68" s="215"/>
      <c r="K68" s="215"/>
      <c r="L68" s="203" t="str">
        <f t="shared" si="15"/>
        <v>NA</v>
      </c>
      <c r="M68" s="215"/>
      <c r="N68" s="215"/>
      <c r="O68" s="191"/>
      <c r="P68" s="191"/>
      <c r="Q68" s="191"/>
    </row>
    <row r="69" spans="2:19" s="103" customFormat="1" ht="10.9" hidden="1" customHeight="1" x14ac:dyDescent="0.15">
      <c r="B69" s="190"/>
      <c r="C69" s="214" t="s">
        <v>3427</v>
      </c>
      <c r="E69" s="215"/>
      <c r="F69" s="215"/>
      <c r="G69" s="203" t="str">
        <f t="shared" si="14"/>
        <v>NA</v>
      </c>
      <c r="H69" s="215"/>
      <c r="I69" s="215"/>
      <c r="J69" s="215"/>
      <c r="K69" s="215"/>
      <c r="L69" s="203" t="str">
        <f t="shared" si="15"/>
        <v>NA</v>
      </c>
      <c r="M69" s="215"/>
      <c r="N69" s="215"/>
      <c r="O69" s="191"/>
      <c r="P69" s="191"/>
      <c r="Q69" s="191"/>
    </row>
    <row r="70" spans="2:19" s="103" customFormat="1" ht="10.9" hidden="1" customHeight="1" x14ac:dyDescent="0.15">
      <c r="B70" s="190"/>
      <c r="C70" s="214" t="s">
        <v>3428</v>
      </c>
      <c r="E70" s="215"/>
      <c r="F70" s="215"/>
      <c r="G70" s="203" t="str">
        <f t="shared" si="14"/>
        <v>NA</v>
      </c>
      <c r="H70" s="215"/>
      <c r="I70" s="215"/>
      <c r="J70" s="215"/>
      <c r="K70" s="215"/>
      <c r="L70" s="203" t="str">
        <f t="shared" si="15"/>
        <v>NA</v>
      </c>
      <c r="M70" s="215"/>
      <c r="N70" s="215"/>
      <c r="O70" s="191"/>
      <c r="P70" s="191"/>
      <c r="Q70" s="191"/>
    </row>
    <row r="71" spans="2:19" s="103" customFormat="1" ht="10.9" hidden="1" customHeight="1" x14ac:dyDescent="0.15">
      <c r="B71" s="190"/>
      <c r="C71" s="214" t="s">
        <v>3429</v>
      </c>
      <c r="E71" s="215"/>
      <c r="F71" s="215"/>
      <c r="G71" s="203" t="str">
        <f t="shared" si="14"/>
        <v>NA</v>
      </c>
      <c r="H71" s="215"/>
      <c r="I71" s="215"/>
      <c r="J71" s="215"/>
      <c r="K71" s="215"/>
      <c r="L71" s="203" t="str">
        <f t="shared" si="15"/>
        <v>NA</v>
      </c>
      <c r="M71" s="215"/>
      <c r="N71" s="215"/>
      <c r="O71" s="191"/>
      <c r="P71" s="191"/>
      <c r="Q71" s="191"/>
    </row>
    <row r="72" spans="2:19" s="103" customFormat="1" ht="10.9" hidden="1" customHeight="1" x14ac:dyDescent="0.15">
      <c r="B72" s="190"/>
      <c r="C72" s="214" t="s">
        <v>3430</v>
      </c>
      <c r="E72" s="215"/>
      <c r="F72" s="215"/>
      <c r="G72" s="203" t="str">
        <f t="shared" si="14"/>
        <v>NA</v>
      </c>
      <c r="H72" s="215"/>
      <c r="I72" s="215"/>
      <c r="J72" s="215"/>
      <c r="K72" s="215"/>
      <c r="L72" s="203" t="str">
        <f t="shared" si="15"/>
        <v>NA</v>
      </c>
      <c r="M72" s="215"/>
      <c r="N72" s="215"/>
      <c r="O72" s="191"/>
      <c r="P72" s="191"/>
      <c r="Q72" s="191"/>
    </row>
    <row r="73" spans="2:19" ht="10.35" customHeight="1" x14ac:dyDescent="0.25">
      <c r="B73" s="276"/>
      <c r="C73" s="94"/>
      <c r="D73" s="77" t="s">
        <v>48</v>
      </c>
      <c r="E73" s="277"/>
      <c r="F73" s="277"/>
      <c r="G73" s="277"/>
      <c r="H73" s="277"/>
      <c r="I73" s="277"/>
      <c r="J73" s="277"/>
      <c r="K73" s="277"/>
      <c r="L73" s="277"/>
      <c r="M73" s="277"/>
      <c r="N73" s="277"/>
      <c r="O73" s="177"/>
      <c r="P73" s="177"/>
      <c r="Q73" s="177"/>
      <c r="R73" s="165"/>
      <c r="S73" s="165"/>
    </row>
    <row r="74" spans="2:19" ht="10.35" customHeight="1" x14ac:dyDescent="0.25">
      <c r="B74" s="210"/>
      <c r="C74" s="207"/>
      <c r="D74" s="103"/>
      <c r="E74" s="165"/>
      <c r="F74" s="165"/>
      <c r="G74" s="165"/>
      <c r="H74" s="165"/>
      <c r="I74" s="165"/>
      <c r="J74" s="165"/>
      <c r="K74" s="165"/>
      <c r="L74" s="165"/>
      <c r="M74" s="165"/>
      <c r="N74" s="165"/>
      <c r="O74" s="165"/>
      <c r="P74" s="165"/>
      <c r="Q74" s="165"/>
      <c r="R74" s="165"/>
      <c r="S74" s="165"/>
    </row>
    <row r="75" spans="2:19" ht="10.35" customHeight="1" x14ac:dyDescent="0.25">
      <c r="B75" s="210"/>
      <c r="C75" s="207"/>
      <c r="D75" s="103"/>
      <c r="E75" s="165"/>
      <c r="F75" s="165"/>
      <c r="G75" s="165"/>
      <c r="H75" s="165"/>
      <c r="I75" s="165"/>
      <c r="J75" s="165"/>
      <c r="K75" s="165"/>
      <c r="L75" s="165"/>
      <c r="M75" s="165"/>
      <c r="N75" s="165"/>
      <c r="O75" s="165"/>
      <c r="P75" s="165"/>
      <c r="Q75" s="165"/>
      <c r="R75" s="165"/>
      <c r="S75" s="165"/>
    </row>
    <row r="76" spans="2:19" ht="10.35" customHeight="1" x14ac:dyDescent="0.25">
      <c r="B76" s="210"/>
      <c r="C76" s="207"/>
      <c r="D76" s="103"/>
      <c r="E76" s="165"/>
      <c r="F76" s="165"/>
      <c r="G76" s="165"/>
      <c r="H76" s="165"/>
      <c r="I76" s="165"/>
      <c r="J76" s="165"/>
      <c r="K76" s="165"/>
      <c r="L76" s="165"/>
      <c r="M76" s="165"/>
      <c r="N76" s="165"/>
      <c r="O76" s="165"/>
      <c r="P76" s="165"/>
      <c r="Q76" s="165"/>
      <c r="R76" s="165"/>
      <c r="S76" s="165"/>
    </row>
    <row r="77" spans="2:19" ht="10.35" customHeight="1" x14ac:dyDescent="0.2">
      <c r="B77" s="256"/>
      <c r="C77" s="257"/>
      <c r="D77" s="257"/>
    </row>
    <row r="78" spans="2:19" ht="10.35" customHeight="1" x14ac:dyDescent="0.2">
      <c r="B78" s="256"/>
      <c r="C78" s="257"/>
      <c r="D78" s="257"/>
    </row>
    <row r="79" spans="2:19" ht="10.35" customHeight="1" x14ac:dyDescent="0.2">
      <c r="B79" s="256"/>
      <c r="C79" s="257"/>
      <c r="D79" s="257"/>
    </row>
    <row r="80" spans="2:19" ht="10.35" customHeight="1" x14ac:dyDescent="0.2">
      <c r="B80" s="256"/>
      <c r="C80" s="257"/>
      <c r="D80" s="257"/>
    </row>
    <row r="81" spans="2:4" ht="10.35" customHeight="1" x14ac:dyDescent="0.2">
      <c r="B81" s="256"/>
      <c r="C81" s="257"/>
      <c r="D81" s="257"/>
    </row>
    <row r="82" spans="2:4" ht="10.35" customHeight="1" x14ac:dyDescent="0.2">
      <c r="B82" s="256"/>
      <c r="C82" s="257"/>
      <c r="D82" s="257"/>
    </row>
    <row r="83" spans="2:4" ht="10.35" customHeight="1" x14ac:dyDescent="0.2">
      <c r="B83" s="256"/>
      <c r="C83" s="257"/>
      <c r="D83" s="257"/>
    </row>
    <row r="84" spans="2:4" ht="10.35" customHeight="1" x14ac:dyDescent="0.2">
      <c r="B84" s="256"/>
      <c r="C84" s="257"/>
      <c r="D84" s="257"/>
    </row>
    <row r="85" spans="2:4" ht="10.35" customHeight="1" x14ac:dyDescent="0.2">
      <c r="B85" s="256"/>
      <c r="C85" s="257"/>
      <c r="D85" s="257"/>
    </row>
    <row r="86" spans="2:4" ht="10.35" customHeight="1" x14ac:dyDescent="0.2">
      <c r="B86" s="256"/>
      <c r="C86" s="257"/>
      <c r="D86" s="257"/>
    </row>
    <row r="87" spans="2:4" x14ac:dyDescent="0.2">
      <c r="B87" s="256"/>
      <c r="C87" s="257"/>
      <c r="D87" s="257"/>
    </row>
    <row r="88" spans="2:4" x14ac:dyDescent="0.2">
      <c r="B88" s="256"/>
      <c r="C88" s="257"/>
      <c r="D88" s="257"/>
    </row>
    <row r="89" spans="2:4" x14ac:dyDescent="0.2">
      <c r="B89" s="256"/>
      <c r="C89" s="257"/>
      <c r="D89" s="257"/>
    </row>
    <row r="90" spans="2:4" x14ac:dyDescent="0.2">
      <c r="B90" s="256"/>
      <c r="C90" s="257"/>
      <c r="D90" s="257"/>
    </row>
    <row r="91" spans="2:4" x14ac:dyDescent="0.2">
      <c r="B91" s="256"/>
      <c r="C91" s="257"/>
      <c r="D91" s="257"/>
    </row>
    <row r="92" spans="2:4" x14ac:dyDescent="0.2">
      <c r="B92" s="256"/>
      <c r="C92" s="257"/>
      <c r="D92" s="257"/>
    </row>
    <row r="93" spans="2:4" x14ac:dyDescent="0.2">
      <c r="B93" s="256"/>
      <c r="C93" s="257"/>
      <c r="D93" s="257"/>
    </row>
    <row r="94" spans="2:4" x14ac:dyDescent="0.2">
      <c r="B94" s="256"/>
      <c r="C94" s="257"/>
      <c r="D94" s="257"/>
    </row>
    <row r="95" spans="2:4" x14ac:dyDescent="0.2">
      <c r="B95" s="256"/>
      <c r="C95" s="257"/>
      <c r="D95" s="257"/>
    </row>
    <row r="96" spans="2:4" x14ac:dyDescent="0.2">
      <c r="B96" s="256"/>
      <c r="C96" s="257"/>
      <c r="D96" s="257"/>
    </row>
    <row r="97" spans="2:4" x14ac:dyDescent="0.2">
      <c r="B97" s="256"/>
      <c r="C97" s="257"/>
      <c r="D97" s="257"/>
    </row>
    <row r="98" spans="2:4" x14ac:dyDescent="0.2">
      <c r="B98" s="256"/>
      <c r="C98" s="257"/>
      <c r="D98" s="257"/>
    </row>
    <row r="99" spans="2:4" x14ac:dyDescent="0.2">
      <c r="B99" s="256"/>
      <c r="C99" s="257"/>
      <c r="D99" s="257"/>
    </row>
    <row r="100" spans="2:4" x14ac:dyDescent="0.2">
      <c r="B100" s="256"/>
      <c r="C100" s="257"/>
      <c r="D100" s="257"/>
    </row>
    <row r="101" spans="2:4" x14ac:dyDescent="0.2">
      <c r="B101" s="256"/>
      <c r="C101" s="257"/>
      <c r="D101" s="257"/>
    </row>
    <row r="102" spans="2:4" x14ac:dyDescent="0.2">
      <c r="B102" s="256"/>
      <c r="C102" s="257"/>
      <c r="D102" s="257"/>
    </row>
    <row r="103" spans="2:4" x14ac:dyDescent="0.2">
      <c r="B103" s="256"/>
      <c r="C103" s="257"/>
      <c r="D103" s="257"/>
    </row>
    <row r="104" spans="2:4" x14ac:dyDescent="0.2">
      <c r="B104" s="256"/>
      <c r="C104" s="257"/>
      <c r="D104" s="257"/>
    </row>
    <row r="105" spans="2:4" x14ac:dyDescent="0.2">
      <c r="B105" s="256"/>
      <c r="C105" s="257"/>
      <c r="D105" s="257"/>
    </row>
    <row r="106" spans="2:4" x14ac:dyDescent="0.2">
      <c r="B106" s="256"/>
      <c r="C106" s="257"/>
      <c r="D106" s="257"/>
    </row>
    <row r="107" spans="2:4" x14ac:dyDescent="0.2">
      <c r="B107" s="256"/>
      <c r="C107" s="257"/>
      <c r="D107" s="257"/>
    </row>
    <row r="108" spans="2:4" x14ac:dyDescent="0.2">
      <c r="B108" s="256"/>
      <c r="C108" s="257"/>
      <c r="D108" s="257"/>
    </row>
    <row r="109" spans="2:4" x14ac:dyDescent="0.2">
      <c r="B109" s="256"/>
      <c r="C109" s="257"/>
      <c r="D109" s="257"/>
    </row>
    <row r="110" spans="2:4" x14ac:dyDescent="0.2">
      <c r="B110" s="256"/>
      <c r="C110" s="257"/>
      <c r="D110" s="257"/>
    </row>
    <row r="111" spans="2:4" x14ac:dyDescent="0.2">
      <c r="B111" s="256"/>
      <c r="C111" s="257"/>
      <c r="D111" s="257"/>
    </row>
    <row r="112" spans="2:4" x14ac:dyDescent="0.2">
      <c r="B112" s="256"/>
      <c r="C112" s="257"/>
      <c r="D112" s="257"/>
    </row>
    <row r="113" spans="2:4" x14ac:dyDescent="0.2">
      <c r="B113" s="256"/>
      <c r="C113" s="257"/>
      <c r="D113" s="257"/>
    </row>
    <row r="114" spans="2:4" x14ac:dyDescent="0.2">
      <c r="B114" s="256"/>
      <c r="C114" s="257"/>
      <c r="D114" s="257"/>
    </row>
    <row r="115" spans="2:4" x14ac:dyDescent="0.2">
      <c r="B115" s="256"/>
      <c r="C115" s="257"/>
      <c r="D115" s="257"/>
    </row>
    <row r="116" spans="2:4" x14ac:dyDescent="0.2">
      <c r="B116" s="256"/>
      <c r="C116" s="257"/>
      <c r="D116" s="257"/>
    </row>
    <row r="117" spans="2:4" x14ac:dyDescent="0.2">
      <c r="B117" s="256"/>
      <c r="C117" s="257"/>
      <c r="D117" s="257"/>
    </row>
    <row r="118" spans="2:4" x14ac:dyDescent="0.2">
      <c r="B118" s="256"/>
      <c r="C118" s="257"/>
      <c r="D118" s="257"/>
    </row>
    <row r="119" spans="2:4" x14ac:dyDescent="0.2">
      <c r="B119" s="256"/>
      <c r="C119" s="257"/>
      <c r="D119" s="257"/>
    </row>
    <row r="120" spans="2:4" x14ac:dyDescent="0.2">
      <c r="B120" s="256"/>
      <c r="C120" s="257"/>
      <c r="D120" s="257"/>
    </row>
    <row r="121" spans="2:4" x14ac:dyDescent="0.2">
      <c r="B121" s="256"/>
      <c r="C121" s="257"/>
      <c r="D121" s="257"/>
    </row>
    <row r="122" spans="2:4" x14ac:dyDescent="0.2">
      <c r="B122" s="256"/>
      <c r="C122" s="257"/>
      <c r="D122" s="257"/>
    </row>
    <row r="123" spans="2:4" x14ac:dyDescent="0.2">
      <c r="B123" s="256"/>
      <c r="C123" s="257"/>
      <c r="D123" s="257"/>
    </row>
    <row r="124" spans="2:4" x14ac:dyDescent="0.2">
      <c r="B124" s="256"/>
      <c r="C124" s="257"/>
      <c r="D124" s="257"/>
    </row>
    <row r="125" spans="2:4" x14ac:dyDescent="0.2">
      <c r="B125" s="256"/>
      <c r="C125" s="257"/>
      <c r="D125" s="257"/>
    </row>
    <row r="126" spans="2:4" x14ac:dyDescent="0.2">
      <c r="B126" s="256"/>
      <c r="C126" s="257"/>
      <c r="D126" s="257"/>
    </row>
    <row r="127" spans="2:4" x14ac:dyDescent="0.2">
      <c r="B127" s="256"/>
      <c r="C127" s="257"/>
      <c r="D127" s="257"/>
    </row>
    <row r="128" spans="2:4" x14ac:dyDescent="0.2">
      <c r="B128" s="256"/>
      <c r="C128" s="257"/>
      <c r="D128" s="257"/>
    </row>
    <row r="129" spans="2:4" x14ac:dyDescent="0.2">
      <c r="B129" s="256"/>
      <c r="C129" s="257"/>
      <c r="D129" s="257"/>
    </row>
    <row r="130" spans="2:4" x14ac:dyDescent="0.2">
      <c r="B130" s="256"/>
      <c r="C130" s="257"/>
      <c r="D130" s="257"/>
    </row>
    <row r="131" spans="2:4" x14ac:dyDescent="0.2">
      <c r="B131" s="256"/>
      <c r="C131" s="257"/>
      <c r="D131" s="257"/>
    </row>
    <row r="132" spans="2:4" x14ac:dyDescent="0.2">
      <c r="B132" s="256"/>
      <c r="C132" s="257"/>
      <c r="D132" s="257"/>
    </row>
    <row r="133" spans="2:4" x14ac:dyDescent="0.2">
      <c r="B133" s="256"/>
      <c r="C133" s="257"/>
      <c r="D133" s="257"/>
    </row>
    <row r="134" spans="2:4" x14ac:dyDescent="0.2">
      <c r="B134" s="256"/>
      <c r="C134" s="257"/>
      <c r="D134" s="257"/>
    </row>
    <row r="135" spans="2:4" x14ac:dyDescent="0.2">
      <c r="B135" s="256"/>
      <c r="C135" s="257"/>
      <c r="D135" s="257"/>
    </row>
    <row r="136" spans="2:4" x14ac:dyDescent="0.2">
      <c r="B136" s="256"/>
      <c r="C136" s="257"/>
      <c r="D136" s="257"/>
    </row>
    <row r="137" spans="2:4" x14ac:dyDescent="0.2">
      <c r="B137" s="256"/>
      <c r="C137" s="257"/>
      <c r="D137" s="257"/>
    </row>
    <row r="138" spans="2:4" x14ac:dyDescent="0.2">
      <c r="B138" s="256"/>
      <c r="C138" s="257"/>
      <c r="D138" s="257"/>
    </row>
    <row r="139" spans="2:4" x14ac:dyDescent="0.2">
      <c r="B139" s="256"/>
      <c r="C139" s="257"/>
      <c r="D139" s="257"/>
    </row>
    <row r="140" spans="2:4" x14ac:dyDescent="0.2">
      <c r="B140" s="256"/>
      <c r="C140" s="257"/>
      <c r="D140" s="257"/>
    </row>
    <row r="141" spans="2:4" x14ac:dyDescent="0.2">
      <c r="B141" s="256"/>
      <c r="C141" s="257"/>
      <c r="D141" s="257"/>
    </row>
    <row r="142" spans="2:4" x14ac:dyDescent="0.2">
      <c r="B142" s="256"/>
      <c r="C142" s="257"/>
      <c r="D142" s="257"/>
    </row>
    <row r="143" spans="2:4" x14ac:dyDescent="0.2">
      <c r="B143" s="256"/>
      <c r="C143" s="257"/>
      <c r="D143" s="257"/>
    </row>
    <row r="144" spans="2:4" x14ac:dyDescent="0.2">
      <c r="B144" s="256"/>
      <c r="C144" s="257"/>
      <c r="D144" s="257"/>
    </row>
    <row r="145" spans="2:4" x14ac:dyDescent="0.2">
      <c r="B145" s="256"/>
      <c r="C145" s="257"/>
      <c r="D145" s="257"/>
    </row>
    <row r="146" spans="2:4" x14ac:dyDescent="0.2">
      <c r="B146" s="256"/>
      <c r="C146" s="257"/>
      <c r="D146" s="257"/>
    </row>
    <row r="147" spans="2:4" x14ac:dyDescent="0.2">
      <c r="B147" s="256"/>
      <c r="C147" s="257"/>
      <c r="D147" s="257"/>
    </row>
    <row r="148" spans="2:4" x14ac:dyDescent="0.2">
      <c r="B148" s="256"/>
      <c r="C148" s="257"/>
      <c r="D148" s="257"/>
    </row>
    <row r="149" spans="2:4" x14ac:dyDescent="0.2">
      <c r="B149" s="256"/>
      <c r="C149" s="257"/>
      <c r="D149" s="257"/>
    </row>
    <row r="150" spans="2:4" x14ac:dyDescent="0.2">
      <c r="B150" s="256"/>
      <c r="C150" s="257"/>
      <c r="D150" s="257"/>
    </row>
    <row r="151" spans="2:4" x14ac:dyDescent="0.2">
      <c r="B151" s="256"/>
      <c r="C151" s="257"/>
      <c r="D151" s="257"/>
    </row>
    <row r="152" spans="2:4" x14ac:dyDescent="0.2">
      <c r="B152" s="256"/>
      <c r="C152" s="257"/>
      <c r="D152" s="257"/>
    </row>
    <row r="153" spans="2:4" x14ac:dyDescent="0.2">
      <c r="B153" s="256"/>
      <c r="C153" s="257"/>
      <c r="D153" s="257"/>
    </row>
    <row r="154" spans="2:4" x14ac:dyDescent="0.2">
      <c r="B154" s="256"/>
      <c r="C154" s="257"/>
      <c r="D154" s="257"/>
    </row>
    <row r="155" spans="2:4" x14ac:dyDescent="0.2">
      <c r="B155" s="256"/>
      <c r="C155" s="257"/>
      <c r="D155" s="257"/>
    </row>
    <row r="156" spans="2:4" x14ac:dyDescent="0.2">
      <c r="B156" s="256"/>
      <c r="C156" s="257"/>
      <c r="D156" s="257"/>
    </row>
    <row r="157" spans="2:4" x14ac:dyDescent="0.2">
      <c r="B157" s="256"/>
      <c r="C157" s="257"/>
      <c r="D157" s="257"/>
    </row>
    <row r="158" spans="2:4" x14ac:dyDescent="0.2">
      <c r="B158" s="256"/>
      <c r="C158" s="257"/>
      <c r="D158" s="257"/>
    </row>
    <row r="159" spans="2:4" x14ac:dyDescent="0.2">
      <c r="B159" s="256"/>
      <c r="C159" s="257"/>
      <c r="D159" s="257"/>
    </row>
    <row r="160" spans="2:4" x14ac:dyDescent="0.2">
      <c r="B160" s="256"/>
      <c r="C160" s="257"/>
      <c r="D160" s="257"/>
    </row>
    <row r="161" spans="2:4" x14ac:dyDescent="0.2">
      <c r="B161" s="256"/>
      <c r="C161" s="257"/>
      <c r="D161" s="257"/>
    </row>
    <row r="162" spans="2:4" x14ac:dyDescent="0.2">
      <c r="B162" s="256"/>
      <c r="C162" s="257"/>
      <c r="D162" s="257"/>
    </row>
    <row r="163" spans="2:4" x14ac:dyDescent="0.2">
      <c r="B163" s="256"/>
      <c r="C163" s="257"/>
      <c r="D163" s="257"/>
    </row>
    <row r="164" spans="2:4" x14ac:dyDescent="0.2">
      <c r="B164" s="256"/>
      <c r="C164" s="257"/>
      <c r="D164" s="257"/>
    </row>
    <row r="165" spans="2:4" x14ac:dyDescent="0.2">
      <c r="B165" s="256"/>
      <c r="C165" s="257"/>
      <c r="D165" s="257"/>
    </row>
    <row r="166" spans="2:4" x14ac:dyDescent="0.2">
      <c r="B166" s="256"/>
      <c r="C166" s="257"/>
      <c r="D166" s="257"/>
    </row>
    <row r="167" spans="2:4" x14ac:dyDescent="0.2">
      <c r="B167" s="256"/>
      <c r="C167" s="257"/>
      <c r="D167" s="257"/>
    </row>
    <row r="168" spans="2:4" x14ac:dyDescent="0.2">
      <c r="B168" s="256"/>
      <c r="C168" s="257"/>
      <c r="D168" s="257"/>
    </row>
    <row r="169" spans="2:4" x14ac:dyDescent="0.2">
      <c r="B169" s="256"/>
      <c r="C169" s="257"/>
      <c r="D169" s="257"/>
    </row>
    <row r="170" spans="2:4" x14ac:dyDescent="0.2">
      <c r="B170" s="256"/>
      <c r="C170" s="257"/>
      <c r="D170" s="257"/>
    </row>
    <row r="171" spans="2:4" x14ac:dyDescent="0.2">
      <c r="B171" s="256"/>
      <c r="C171" s="257"/>
      <c r="D171" s="257"/>
    </row>
    <row r="172" spans="2:4" x14ac:dyDescent="0.2">
      <c r="B172" s="256"/>
      <c r="C172" s="257"/>
      <c r="D172" s="257"/>
    </row>
    <row r="173" spans="2:4" x14ac:dyDescent="0.2">
      <c r="B173" s="256"/>
      <c r="C173" s="257"/>
      <c r="D173" s="257"/>
    </row>
    <row r="174" spans="2:4" x14ac:dyDescent="0.2">
      <c r="B174" s="256"/>
      <c r="C174" s="257"/>
      <c r="D174" s="257"/>
    </row>
    <row r="175" spans="2:4" x14ac:dyDescent="0.2">
      <c r="B175" s="256"/>
      <c r="C175" s="257"/>
      <c r="D175" s="257"/>
    </row>
    <row r="176" spans="2:4" x14ac:dyDescent="0.2">
      <c r="B176" s="256"/>
      <c r="C176" s="257"/>
      <c r="D176" s="257"/>
    </row>
    <row r="177" spans="2:4" x14ac:dyDescent="0.2">
      <c r="B177" s="256"/>
      <c r="C177" s="257"/>
      <c r="D177" s="257"/>
    </row>
    <row r="178" spans="2:4" x14ac:dyDescent="0.2">
      <c r="B178" s="256"/>
      <c r="C178" s="257"/>
      <c r="D178" s="257"/>
    </row>
    <row r="179" spans="2:4" x14ac:dyDescent="0.2">
      <c r="B179" s="256"/>
      <c r="C179" s="257"/>
      <c r="D179" s="257"/>
    </row>
    <row r="180" spans="2:4" x14ac:dyDescent="0.2">
      <c r="B180" s="256"/>
      <c r="C180" s="257"/>
      <c r="D180" s="257"/>
    </row>
    <row r="181" spans="2:4" x14ac:dyDescent="0.2">
      <c r="B181" s="256"/>
      <c r="C181" s="257"/>
      <c r="D181" s="257"/>
    </row>
    <row r="182" spans="2:4" x14ac:dyDescent="0.2">
      <c r="B182" s="256"/>
      <c r="C182" s="257"/>
      <c r="D182" s="257"/>
    </row>
    <row r="183" spans="2:4" x14ac:dyDescent="0.2">
      <c r="B183" s="256"/>
      <c r="C183" s="257"/>
      <c r="D183" s="257"/>
    </row>
    <row r="184" spans="2:4" x14ac:dyDescent="0.2">
      <c r="B184" s="256"/>
      <c r="C184" s="257"/>
      <c r="D184" s="257"/>
    </row>
    <row r="185" spans="2:4" x14ac:dyDescent="0.2">
      <c r="B185" s="256"/>
      <c r="C185" s="257"/>
      <c r="D185" s="257"/>
    </row>
    <row r="186" spans="2:4" x14ac:dyDescent="0.2">
      <c r="B186" s="256"/>
      <c r="C186" s="257"/>
      <c r="D186" s="257"/>
    </row>
    <row r="187" spans="2:4" x14ac:dyDescent="0.2">
      <c r="B187" s="256"/>
      <c r="C187" s="257"/>
      <c r="D187" s="257"/>
    </row>
    <row r="188" spans="2:4" x14ac:dyDescent="0.2">
      <c r="B188" s="256"/>
      <c r="C188" s="257"/>
      <c r="D188" s="257"/>
    </row>
    <row r="189" spans="2:4" x14ac:dyDescent="0.2">
      <c r="B189" s="256"/>
      <c r="C189" s="257"/>
      <c r="D189" s="257"/>
    </row>
    <row r="190" spans="2:4" x14ac:dyDescent="0.2">
      <c r="B190" s="256"/>
      <c r="C190" s="257"/>
      <c r="D190" s="257"/>
    </row>
    <row r="191" spans="2:4" x14ac:dyDescent="0.2">
      <c r="B191" s="256"/>
      <c r="C191" s="257"/>
      <c r="D191" s="257"/>
    </row>
    <row r="192" spans="2:4" x14ac:dyDescent="0.2">
      <c r="B192" s="256"/>
      <c r="C192" s="257"/>
      <c r="D192" s="257"/>
    </row>
    <row r="193" spans="2:4" x14ac:dyDescent="0.2">
      <c r="B193" s="256"/>
      <c r="C193" s="257"/>
      <c r="D193" s="257"/>
    </row>
    <row r="194" spans="2:4" x14ac:dyDescent="0.2">
      <c r="B194" s="256"/>
      <c r="C194" s="257"/>
      <c r="D194" s="257"/>
    </row>
    <row r="195" spans="2:4" x14ac:dyDescent="0.2">
      <c r="B195" s="256"/>
      <c r="C195" s="257"/>
      <c r="D195" s="257"/>
    </row>
    <row r="196" spans="2:4" x14ac:dyDescent="0.2">
      <c r="B196" s="256"/>
      <c r="C196" s="257"/>
      <c r="D196" s="257"/>
    </row>
    <row r="197" spans="2:4" x14ac:dyDescent="0.2">
      <c r="B197" s="256"/>
      <c r="C197" s="257"/>
      <c r="D197" s="257"/>
    </row>
    <row r="198" spans="2:4" x14ac:dyDescent="0.2">
      <c r="B198" s="256"/>
      <c r="C198" s="257"/>
      <c r="D198" s="257"/>
    </row>
    <row r="199" spans="2:4" x14ac:dyDescent="0.2">
      <c r="B199" s="256"/>
      <c r="C199" s="257"/>
      <c r="D199" s="257"/>
    </row>
    <row r="200" spans="2:4" x14ac:dyDescent="0.2">
      <c r="B200" s="256"/>
      <c r="C200" s="257"/>
      <c r="D200" s="257"/>
    </row>
    <row r="201" spans="2:4" x14ac:dyDescent="0.2">
      <c r="B201" s="256"/>
      <c r="C201" s="257"/>
      <c r="D201" s="257"/>
    </row>
    <row r="202" spans="2:4" x14ac:dyDescent="0.2">
      <c r="B202" s="256"/>
      <c r="C202" s="257"/>
      <c r="D202" s="257"/>
    </row>
    <row r="203" spans="2:4" x14ac:dyDescent="0.2">
      <c r="B203" s="256"/>
      <c r="C203" s="257"/>
      <c r="D203" s="257"/>
    </row>
    <row r="204" spans="2:4" x14ac:dyDescent="0.2">
      <c r="B204" s="256"/>
      <c r="C204" s="257"/>
      <c r="D204" s="257"/>
    </row>
    <row r="205" spans="2:4" x14ac:dyDescent="0.2">
      <c r="B205" s="256"/>
      <c r="C205" s="257"/>
      <c r="D205" s="257"/>
    </row>
    <row r="206" spans="2:4" x14ac:dyDescent="0.2">
      <c r="B206" s="256"/>
      <c r="C206" s="257"/>
      <c r="D206" s="257"/>
    </row>
    <row r="207" spans="2:4" x14ac:dyDescent="0.2">
      <c r="B207" s="256"/>
      <c r="C207" s="257"/>
      <c r="D207" s="257"/>
    </row>
    <row r="208" spans="2:4" x14ac:dyDescent="0.2">
      <c r="B208" s="256"/>
      <c r="C208" s="257"/>
      <c r="D208" s="257"/>
    </row>
    <row r="209" spans="2:4" x14ac:dyDescent="0.2">
      <c r="B209" s="256"/>
      <c r="C209" s="257"/>
      <c r="D209" s="257"/>
    </row>
    <row r="210" spans="2:4" x14ac:dyDescent="0.2">
      <c r="B210" s="256"/>
      <c r="C210" s="257"/>
      <c r="D210" s="257"/>
    </row>
    <row r="211" spans="2:4" x14ac:dyDescent="0.2">
      <c r="B211" s="256"/>
      <c r="C211" s="257"/>
      <c r="D211" s="257"/>
    </row>
    <row r="212" spans="2:4" x14ac:dyDescent="0.2">
      <c r="B212" s="256"/>
      <c r="C212" s="257"/>
      <c r="D212" s="257"/>
    </row>
    <row r="213" spans="2:4" x14ac:dyDescent="0.2">
      <c r="B213" s="256"/>
      <c r="C213" s="257"/>
      <c r="D213" s="257"/>
    </row>
    <row r="214" spans="2:4" x14ac:dyDescent="0.2">
      <c r="B214" s="256"/>
      <c r="C214" s="257"/>
      <c r="D214" s="257"/>
    </row>
    <row r="215" spans="2:4" x14ac:dyDescent="0.2">
      <c r="B215" s="256"/>
      <c r="C215" s="257"/>
      <c r="D215" s="257"/>
    </row>
    <row r="216" spans="2:4" x14ac:dyDescent="0.2">
      <c r="B216" s="256"/>
      <c r="C216" s="257"/>
      <c r="D216" s="257"/>
    </row>
    <row r="217" spans="2:4" x14ac:dyDescent="0.2">
      <c r="B217" s="256"/>
      <c r="C217" s="257"/>
      <c r="D217" s="257"/>
    </row>
    <row r="218" spans="2:4" x14ac:dyDescent="0.2">
      <c r="B218" s="256"/>
      <c r="C218" s="257"/>
      <c r="D218" s="257"/>
    </row>
    <row r="219" spans="2:4" x14ac:dyDescent="0.2">
      <c r="B219" s="256"/>
      <c r="C219" s="257"/>
      <c r="D219" s="257"/>
    </row>
    <row r="220" spans="2:4" x14ac:dyDescent="0.2">
      <c r="B220" s="256"/>
      <c r="C220" s="257"/>
      <c r="D220" s="257"/>
    </row>
    <row r="221" spans="2:4" x14ac:dyDescent="0.2">
      <c r="B221" s="256"/>
      <c r="C221" s="257"/>
      <c r="D221" s="257"/>
    </row>
    <row r="222" spans="2:4" x14ac:dyDescent="0.2">
      <c r="B222" s="256"/>
      <c r="C222" s="257"/>
      <c r="D222" s="257"/>
    </row>
    <row r="223" spans="2:4" x14ac:dyDescent="0.2">
      <c r="B223" s="256"/>
      <c r="C223" s="257"/>
      <c r="D223" s="257"/>
    </row>
    <row r="224" spans="2:4" x14ac:dyDescent="0.2">
      <c r="B224" s="256"/>
      <c r="C224" s="257"/>
      <c r="D224" s="257"/>
    </row>
    <row r="225" spans="2:4" x14ac:dyDescent="0.2">
      <c r="B225" s="256"/>
      <c r="C225" s="257"/>
      <c r="D225" s="257"/>
    </row>
    <row r="226" spans="2:4" x14ac:dyDescent="0.2">
      <c r="B226" s="256"/>
      <c r="C226" s="257"/>
      <c r="D226" s="257"/>
    </row>
    <row r="227" spans="2:4" x14ac:dyDescent="0.2">
      <c r="B227" s="256"/>
      <c r="C227" s="257"/>
      <c r="D227" s="257"/>
    </row>
    <row r="228" spans="2:4" x14ac:dyDescent="0.2">
      <c r="B228" s="256"/>
      <c r="C228" s="257"/>
      <c r="D228" s="257"/>
    </row>
    <row r="229" spans="2:4" x14ac:dyDescent="0.2">
      <c r="B229" s="256"/>
      <c r="C229" s="257"/>
      <c r="D229" s="257"/>
    </row>
    <row r="230" spans="2:4" x14ac:dyDescent="0.2">
      <c r="B230" s="256"/>
      <c r="C230" s="257"/>
      <c r="D230" s="257"/>
    </row>
    <row r="231" spans="2:4" x14ac:dyDescent="0.2">
      <c r="B231" s="256"/>
      <c r="C231" s="257"/>
      <c r="D231" s="257"/>
    </row>
    <row r="232" spans="2:4" x14ac:dyDescent="0.2">
      <c r="B232" s="256"/>
      <c r="C232" s="257"/>
      <c r="D232" s="257"/>
    </row>
    <row r="233" spans="2:4" x14ac:dyDescent="0.2">
      <c r="B233" s="256"/>
      <c r="C233" s="257"/>
      <c r="D233" s="257"/>
    </row>
    <row r="234" spans="2:4" x14ac:dyDescent="0.2">
      <c r="B234" s="256"/>
      <c r="C234" s="257"/>
      <c r="D234" s="257"/>
    </row>
    <row r="235" spans="2:4" x14ac:dyDescent="0.2">
      <c r="B235" s="256"/>
      <c r="C235" s="257"/>
      <c r="D235" s="257"/>
    </row>
    <row r="236" spans="2:4" x14ac:dyDescent="0.2">
      <c r="B236" s="256"/>
      <c r="C236" s="257"/>
      <c r="D236" s="257"/>
    </row>
    <row r="237" spans="2:4" x14ac:dyDescent="0.2">
      <c r="B237" s="256"/>
      <c r="C237" s="257"/>
      <c r="D237" s="257"/>
    </row>
    <row r="238" spans="2:4" x14ac:dyDescent="0.2">
      <c r="B238" s="256"/>
      <c r="C238" s="257"/>
      <c r="D238" s="257"/>
    </row>
    <row r="239" spans="2:4" x14ac:dyDescent="0.2">
      <c r="B239" s="256"/>
      <c r="C239" s="257"/>
      <c r="D239" s="257"/>
    </row>
    <row r="240" spans="2:4" x14ac:dyDescent="0.2">
      <c r="B240" s="256"/>
      <c r="C240" s="257"/>
      <c r="D240" s="257"/>
    </row>
    <row r="241" spans="2:4" x14ac:dyDescent="0.2">
      <c r="B241" s="256"/>
      <c r="C241" s="257"/>
      <c r="D241" s="257"/>
    </row>
    <row r="242" spans="2:4" x14ac:dyDescent="0.2">
      <c r="B242" s="256"/>
      <c r="C242" s="257"/>
      <c r="D242" s="257"/>
    </row>
    <row r="243" spans="2:4" x14ac:dyDescent="0.2">
      <c r="B243" s="256"/>
      <c r="C243" s="257"/>
      <c r="D243" s="257"/>
    </row>
    <row r="244" spans="2:4" x14ac:dyDescent="0.2">
      <c r="B244" s="256"/>
      <c r="C244" s="257"/>
      <c r="D244" s="257"/>
    </row>
    <row r="245" spans="2:4" x14ac:dyDescent="0.2">
      <c r="B245" s="256"/>
      <c r="C245" s="257"/>
      <c r="D245" s="257"/>
    </row>
    <row r="246" spans="2:4" x14ac:dyDescent="0.2">
      <c r="B246" s="256"/>
      <c r="C246" s="257"/>
      <c r="D246" s="257"/>
    </row>
    <row r="247" spans="2:4" x14ac:dyDescent="0.2">
      <c r="B247" s="256"/>
      <c r="C247" s="257"/>
      <c r="D247" s="257"/>
    </row>
    <row r="248" spans="2:4" x14ac:dyDescent="0.2">
      <c r="B248" s="256"/>
      <c r="C248" s="257"/>
      <c r="D248" s="257"/>
    </row>
    <row r="249" spans="2:4" x14ac:dyDescent="0.2">
      <c r="B249" s="256"/>
      <c r="C249" s="257"/>
      <c r="D249" s="257"/>
    </row>
    <row r="250" spans="2:4" x14ac:dyDescent="0.2">
      <c r="B250" s="256"/>
      <c r="C250" s="257"/>
      <c r="D250" s="257"/>
    </row>
    <row r="251" spans="2:4" x14ac:dyDescent="0.2">
      <c r="B251" s="256"/>
      <c r="C251" s="257"/>
      <c r="D251" s="257"/>
    </row>
    <row r="252" spans="2:4" x14ac:dyDescent="0.2">
      <c r="B252" s="256"/>
      <c r="C252" s="257"/>
      <c r="D252" s="257"/>
    </row>
    <row r="253" spans="2:4" x14ac:dyDescent="0.2">
      <c r="B253" s="256"/>
      <c r="C253" s="257"/>
      <c r="D253" s="257"/>
    </row>
    <row r="254" spans="2:4" x14ac:dyDescent="0.2">
      <c r="B254" s="256"/>
      <c r="C254" s="257"/>
      <c r="D254" s="257"/>
    </row>
    <row r="255" spans="2:4" x14ac:dyDescent="0.2">
      <c r="B255" s="256"/>
      <c r="C255" s="257"/>
      <c r="D255" s="257"/>
    </row>
    <row r="256" spans="2:4" x14ac:dyDescent="0.2">
      <c r="B256" s="256"/>
      <c r="C256" s="257"/>
      <c r="D256" s="257"/>
    </row>
    <row r="257" spans="2:4" x14ac:dyDescent="0.2">
      <c r="B257" s="256"/>
      <c r="C257" s="257"/>
      <c r="D257" s="257"/>
    </row>
    <row r="258" spans="2:4" x14ac:dyDescent="0.2">
      <c r="B258" s="256"/>
      <c r="C258" s="257"/>
      <c r="D258" s="257"/>
    </row>
    <row r="259" spans="2:4" x14ac:dyDescent="0.2">
      <c r="B259" s="256"/>
      <c r="C259" s="257"/>
      <c r="D259" s="257"/>
    </row>
    <row r="260" spans="2:4" x14ac:dyDescent="0.2">
      <c r="B260" s="256"/>
      <c r="C260" s="257"/>
      <c r="D260" s="257"/>
    </row>
    <row r="261" spans="2:4" x14ac:dyDescent="0.2">
      <c r="B261" s="256"/>
      <c r="C261" s="257"/>
      <c r="D261" s="257"/>
    </row>
    <row r="262" spans="2:4" x14ac:dyDescent="0.2">
      <c r="B262" s="256"/>
      <c r="C262" s="257"/>
      <c r="D262" s="257"/>
    </row>
    <row r="263" spans="2:4" x14ac:dyDescent="0.2">
      <c r="B263" s="256"/>
      <c r="C263" s="257"/>
      <c r="D263" s="257"/>
    </row>
    <row r="264" spans="2:4" x14ac:dyDescent="0.2">
      <c r="B264" s="256"/>
      <c r="C264" s="257"/>
      <c r="D264" s="257"/>
    </row>
    <row r="265" spans="2:4" x14ac:dyDescent="0.2">
      <c r="B265" s="256"/>
      <c r="C265" s="257"/>
      <c r="D265" s="257"/>
    </row>
    <row r="266" spans="2:4" x14ac:dyDescent="0.2">
      <c r="B266" s="256"/>
      <c r="C266" s="257"/>
      <c r="D266" s="257"/>
    </row>
    <row r="267" spans="2:4" x14ac:dyDescent="0.2">
      <c r="B267" s="256"/>
      <c r="C267" s="257"/>
      <c r="D267" s="257"/>
    </row>
    <row r="268" spans="2:4" x14ac:dyDescent="0.2">
      <c r="B268" s="256"/>
      <c r="C268" s="257"/>
      <c r="D268" s="257"/>
    </row>
    <row r="269" spans="2:4" x14ac:dyDescent="0.2">
      <c r="B269" s="256"/>
      <c r="C269" s="257"/>
      <c r="D269" s="257"/>
    </row>
    <row r="270" spans="2:4" x14ac:dyDescent="0.2">
      <c r="B270" s="256"/>
      <c r="C270" s="257"/>
      <c r="D270" s="257"/>
    </row>
    <row r="271" spans="2:4" x14ac:dyDescent="0.2">
      <c r="B271" s="256"/>
      <c r="C271" s="257"/>
      <c r="D271" s="257"/>
    </row>
    <row r="272" spans="2:4" x14ac:dyDescent="0.2">
      <c r="B272" s="256"/>
      <c r="C272" s="257"/>
      <c r="D272" s="257"/>
    </row>
    <row r="273" spans="2:4" x14ac:dyDescent="0.2">
      <c r="B273" s="256"/>
      <c r="C273" s="257"/>
      <c r="D273" s="257"/>
    </row>
    <row r="274" spans="2:4" x14ac:dyDescent="0.2">
      <c r="B274" s="256"/>
      <c r="C274" s="257"/>
      <c r="D274" s="257"/>
    </row>
    <row r="275" spans="2:4" x14ac:dyDescent="0.2">
      <c r="B275" s="256"/>
      <c r="C275" s="257"/>
      <c r="D275" s="257"/>
    </row>
    <row r="276" spans="2:4" x14ac:dyDescent="0.2">
      <c r="B276" s="256"/>
      <c r="C276" s="257"/>
      <c r="D276" s="257"/>
    </row>
    <row r="277" spans="2:4" x14ac:dyDescent="0.2">
      <c r="B277" s="256"/>
      <c r="C277" s="257"/>
      <c r="D277" s="257"/>
    </row>
    <row r="278" spans="2:4" x14ac:dyDescent="0.2">
      <c r="B278" s="256"/>
      <c r="C278" s="257"/>
      <c r="D278" s="257"/>
    </row>
    <row r="279" spans="2:4" x14ac:dyDescent="0.2">
      <c r="B279" s="256"/>
      <c r="C279" s="257"/>
      <c r="D279" s="257"/>
    </row>
    <row r="280" spans="2:4" x14ac:dyDescent="0.2">
      <c r="B280" s="256"/>
      <c r="C280" s="257"/>
      <c r="D280" s="257"/>
    </row>
    <row r="281" spans="2:4" x14ac:dyDescent="0.2">
      <c r="B281" s="256"/>
      <c r="C281" s="257"/>
      <c r="D281" s="257"/>
    </row>
    <row r="282" spans="2:4" x14ac:dyDescent="0.2">
      <c r="B282" s="256"/>
      <c r="C282" s="257"/>
      <c r="D282" s="257"/>
    </row>
    <row r="283" spans="2:4" x14ac:dyDescent="0.2">
      <c r="B283" s="256"/>
      <c r="C283" s="257"/>
      <c r="D283" s="257"/>
    </row>
    <row r="284" spans="2:4" x14ac:dyDescent="0.2">
      <c r="B284" s="256"/>
      <c r="C284" s="257"/>
      <c r="D284" s="257"/>
    </row>
    <row r="285" spans="2:4" x14ac:dyDescent="0.2">
      <c r="B285" s="256"/>
      <c r="C285" s="257"/>
      <c r="D285" s="257"/>
    </row>
    <row r="286" spans="2:4" x14ac:dyDescent="0.2">
      <c r="B286" s="256"/>
      <c r="C286" s="257"/>
      <c r="D286" s="257"/>
    </row>
    <row r="287" spans="2:4" x14ac:dyDescent="0.2">
      <c r="B287" s="256"/>
      <c r="C287" s="257"/>
      <c r="D287" s="257"/>
    </row>
    <row r="288" spans="2:4" x14ac:dyDescent="0.2">
      <c r="B288" s="256"/>
      <c r="C288" s="257"/>
      <c r="D288" s="257"/>
    </row>
    <row r="289" spans="2:4" x14ac:dyDescent="0.2">
      <c r="B289" s="256"/>
      <c r="C289" s="257"/>
      <c r="D289" s="257"/>
    </row>
    <row r="290" spans="2:4" x14ac:dyDescent="0.2">
      <c r="B290" s="256"/>
      <c r="C290" s="257"/>
      <c r="D290" s="257"/>
    </row>
    <row r="291" spans="2:4" x14ac:dyDescent="0.2">
      <c r="B291" s="256"/>
      <c r="C291" s="257"/>
      <c r="D291" s="257"/>
    </row>
    <row r="292" spans="2:4" x14ac:dyDescent="0.2">
      <c r="B292" s="256"/>
      <c r="C292" s="257"/>
      <c r="D292" s="257"/>
    </row>
    <row r="293" spans="2:4" x14ac:dyDescent="0.2">
      <c r="B293" s="256"/>
      <c r="C293" s="257"/>
      <c r="D293" s="257"/>
    </row>
    <row r="294" spans="2:4" x14ac:dyDescent="0.2">
      <c r="B294" s="256"/>
      <c r="C294" s="257"/>
      <c r="D294" s="257"/>
    </row>
    <row r="295" spans="2:4" x14ac:dyDescent="0.2">
      <c r="B295" s="256"/>
      <c r="C295" s="257"/>
      <c r="D295" s="257"/>
    </row>
    <row r="296" spans="2:4" x14ac:dyDescent="0.2">
      <c r="B296" s="256"/>
      <c r="C296" s="257"/>
      <c r="D296" s="257"/>
    </row>
    <row r="297" spans="2:4" x14ac:dyDescent="0.2">
      <c r="B297" s="256"/>
      <c r="C297" s="257"/>
      <c r="D297" s="257"/>
    </row>
    <row r="298" spans="2:4" x14ac:dyDescent="0.2">
      <c r="B298" s="256"/>
      <c r="C298" s="257"/>
      <c r="D298" s="257"/>
    </row>
    <row r="299" spans="2:4" x14ac:dyDescent="0.2">
      <c r="B299" s="256"/>
      <c r="C299" s="257"/>
      <c r="D299" s="257"/>
    </row>
    <row r="300" spans="2:4" x14ac:dyDescent="0.2">
      <c r="B300" s="256"/>
      <c r="C300" s="257"/>
      <c r="D300" s="257"/>
    </row>
    <row r="301" spans="2:4" x14ac:dyDescent="0.2">
      <c r="B301" s="256"/>
      <c r="C301" s="257"/>
      <c r="D301" s="257"/>
    </row>
    <row r="302" spans="2:4" x14ac:dyDescent="0.2">
      <c r="B302" s="256"/>
      <c r="C302" s="257"/>
      <c r="D302" s="257"/>
    </row>
    <row r="303" spans="2:4" x14ac:dyDescent="0.2">
      <c r="B303" s="256"/>
      <c r="C303" s="257"/>
      <c r="D303" s="257"/>
    </row>
    <row r="304" spans="2:4" x14ac:dyDescent="0.2">
      <c r="B304" s="256"/>
      <c r="C304" s="257"/>
      <c r="D304" s="257"/>
    </row>
    <row r="305" spans="2:4" x14ac:dyDescent="0.2">
      <c r="B305" s="256"/>
      <c r="C305" s="257"/>
      <c r="D305" s="257"/>
    </row>
    <row r="306" spans="2:4" x14ac:dyDescent="0.2">
      <c r="B306" s="256"/>
      <c r="C306" s="257"/>
      <c r="D306" s="257"/>
    </row>
    <row r="307" spans="2:4" x14ac:dyDescent="0.2">
      <c r="B307" s="256"/>
      <c r="C307" s="257"/>
      <c r="D307" s="257"/>
    </row>
    <row r="308" spans="2:4" x14ac:dyDescent="0.2">
      <c r="B308" s="256"/>
      <c r="C308" s="257"/>
      <c r="D308" s="257"/>
    </row>
    <row r="309" spans="2:4" x14ac:dyDescent="0.2">
      <c r="B309" s="256"/>
      <c r="C309" s="257"/>
      <c r="D309" s="257"/>
    </row>
    <row r="310" spans="2:4" x14ac:dyDescent="0.2">
      <c r="B310" s="256"/>
      <c r="C310" s="257"/>
      <c r="D310" s="257"/>
    </row>
    <row r="311" spans="2:4" x14ac:dyDescent="0.2">
      <c r="B311" s="256"/>
      <c r="C311" s="257"/>
      <c r="D311" s="257"/>
    </row>
    <row r="312" spans="2:4" x14ac:dyDescent="0.2">
      <c r="B312" s="256"/>
      <c r="C312" s="257"/>
      <c r="D312" s="257"/>
    </row>
    <row r="313" spans="2:4" x14ac:dyDescent="0.2">
      <c r="B313" s="256"/>
      <c r="C313" s="257"/>
      <c r="D313" s="257"/>
    </row>
    <row r="314" spans="2:4" x14ac:dyDescent="0.2">
      <c r="B314" s="256"/>
      <c r="C314" s="257"/>
      <c r="D314" s="257"/>
    </row>
    <row r="315" spans="2:4" x14ac:dyDescent="0.2">
      <c r="B315" s="256"/>
      <c r="C315" s="257"/>
      <c r="D315" s="257"/>
    </row>
    <row r="316" spans="2:4" x14ac:dyDescent="0.2">
      <c r="B316" s="256"/>
      <c r="C316" s="257"/>
      <c r="D316" s="257"/>
    </row>
    <row r="317" spans="2:4" x14ac:dyDescent="0.2">
      <c r="B317" s="256"/>
      <c r="C317" s="257"/>
      <c r="D317" s="257"/>
    </row>
    <row r="318" spans="2:4" x14ac:dyDescent="0.2">
      <c r="B318" s="256"/>
      <c r="C318" s="257"/>
      <c r="D318" s="257"/>
    </row>
    <row r="319" spans="2:4" x14ac:dyDescent="0.2">
      <c r="B319" s="256"/>
      <c r="C319" s="257"/>
      <c r="D319" s="257"/>
    </row>
    <row r="320" spans="2:4" x14ac:dyDescent="0.2">
      <c r="B320" s="256"/>
      <c r="C320" s="257"/>
      <c r="D320" s="257"/>
    </row>
    <row r="321" spans="2:4" x14ac:dyDescent="0.2">
      <c r="B321" s="256"/>
      <c r="C321" s="257"/>
      <c r="D321" s="257"/>
    </row>
    <row r="322" spans="2:4" x14ac:dyDescent="0.2">
      <c r="B322" s="256"/>
      <c r="C322" s="257"/>
      <c r="D322" s="257"/>
    </row>
    <row r="323" spans="2:4" x14ac:dyDescent="0.2">
      <c r="B323" s="256"/>
      <c r="C323" s="257"/>
      <c r="D323" s="257"/>
    </row>
    <row r="324" spans="2:4" x14ac:dyDescent="0.2">
      <c r="B324" s="256"/>
      <c r="C324" s="257"/>
      <c r="D324" s="257"/>
    </row>
    <row r="325" spans="2:4" x14ac:dyDescent="0.2">
      <c r="B325" s="256"/>
      <c r="C325" s="257"/>
      <c r="D325" s="257"/>
    </row>
    <row r="326" spans="2:4" x14ac:dyDescent="0.2">
      <c r="B326" s="256"/>
      <c r="C326" s="257"/>
      <c r="D326" s="257"/>
    </row>
    <row r="327" spans="2:4" x14ac:dyDescent="0.2">
      <c r="B327" s="256"/>
      <c r="C327" s="257"/>
      <c r="D327" s="257"/>
    </row>
    <row r="328" spans="2:4" x14ac:dyDescent="0.2">
      <c r="B328" s="256"/>
      <c r="C328" s="257"/>
      <c r="D328" s="257"/>
    </row>
    <row r="329" spans="2:4" x14ac:dyDescent="0.2">
      <c r="B329" s="256"/>
      <c r="C329" s="257"/>
      <c r="D329" s="257"/>
    </row>
    <row r="330" spans="2:4" x14ac:dyDescent="0.2">
      <c r="B330" s="256"/>
      <c r="C330" s="257"/>
      <c r="D330" s="257"/>
    </row>
    <row r="331" spans="2:4" x14ac:dyDescent="0.2">
      <c r="B331" s="256"/>
      <c r="C331" s="257"/>
      <c r="D331" s="257"/>
    </row>
    <row r="332" spans="2:4" x14ac:dyDescent="0.2">
      <c r="B332" s="256"/>
      <c r="C332" s="257"/>
      <c r="D332" s="257"/>
    </row>
    <row r="333" spans="2:4" x14ac:dyDescent="0.2">
      <c r="B333" s="256"/>
      <c r="C333" s="257"/>
      <c r="D333" s="257"/>
    </row>
    <row r="334" spans="2:4" x14ac:dyDescent="0.2">
      <c r="B334" s="256"/>
      <c r="C334" s="257"/>
      <c r="D334" s="257"/>
    </row>
    <row r="335" spans="2:4" x14ac:dyDescent="0.2">
      <c r="B335" s="256"/>
      <c r="C335" s="257"/>
      <c r="D335" s="257"/>
    </row>
    <row r="336" spans="2:4" x14ac:dyDescent="0.2">
      <c r="B336" s="256"/>
      <c r="C336" s="257"/>
      <c r="D336" s="257"/>
    </row>
    <row r="337" spans="2:4" x14ac:dyDescent="0.2">
      <c r="B337" s="256"/>
      <c r="C337" s="257"/>
      <c r="D337" s="257"/>
    </row>
    <row r="338" spans="2:4" x14ac:dyDescent="0.2">
      <c r="B338" s="256"/>
      <c r="C338" s="257"/>
      <c r="D338" s="257"/>
    </row>
    <row r="339" spans="2:4" x14ac:dyDescent="0.2">
      <c r="B339" s="256"/>
      <c r="C339" s="257"/>
      <c r="D339" s="257"/>
    </row>
    <row r="340" spans="2:4" x14ac:dyDescent="0.2">
      <c r="B340" s="256"/>
      <c r="C340" s="257"/>
      <c r="D340" s="257"/>
    </row>
    <row r="341" spans="2:4" x14ac:dyDescent="0.2">
      <c r="B341" s="256"/>
      <c r="C341" s="257"/>
      <c r="D341" s="257"/>
    </row>
    <row r="342" spans="2:4" x14ac:dyDescent="0.2">
      <c r="B342" s="256"/>
      <c r="C342" s="257"/>
      <c r="D342" s="257"/>
    </row>
  </sheetData>
  <sheetProtection password="EECE" sheet="1" objects="1" scenarios="1" formatCells="0" formatColumns="0" formatRows="0"/>
  <customSheetViews>
    <customSheetView guid="{C3088B2E-F853-4D7E-B687-C6500891DFCB}" scale="110" showPageBreaks="1" fitToPage="1" printArea="1">
      <pane xSplit="3" ySplit="6" topLeftCell="D7" activePane="bottomRight" state="frozen"/>
      <selection pane="bottomRight"/>
      <pageMargins left="0.47244094488188998" right="0.47244094488188998" top="0.59055118110236204" bottom="0.59055118110236204" header="0.39370078740157499" footer="0.39370078740157499"/>
      <pageSetup scale="81" fitToHeight="0" orientation="landscape" r:id="rId1"/>
      <headerFooter alignWithMargins="0">
        <oddFooter>&amp;L&amp;8&amp;D  &amp;T&amp;R&amp;8March 2014, Version 0.2</oddFooter>
      </headerFooter>
    </customSheetView>
    <customSheetView guid="{F866C9B2-56BF-4FE4-B270-CC8FE15A5892}" scale="110" showPageBreaks="1" fitToPage="1" printArea="1">
      <pane xSplit="2" ySplit="6" topLeftCell="D7" activePane="bottomRight" state="frozen"/>
      <selection pane="bottomRight"/>
      <pageMargins left="0.47244094488188998" right="0.47244094488188998" top="0.59055118110236204" bottom="0.59055118110236204" header="0.39370078740157499" footer="0.39370078740157499"/>
      <pageSetup scale="80" fitToHeight="0" orientation="landscape" r:id="rId2"/>
      <headerFooter alignWithMargins="0">
        <oddFooter>&amp;L&amp;8&amp;D  &amp;T&amp;R&amp;8March 2014, Version 0.2</oddFooter>
      </headerFooter>
    </customSheetView>
    <customSheetView guid="{D66484CB-9D53-43A1-A83D-11534BC40BF6}" scale="110" showPageBreaks="1" fitToPage="1" printArea="1">
      <pane xSplit="3" ySplit="6" topLeftCell="D7" activePane="bottomRight" state="frozen"/>
      <selection pane="bottomRight" activeCell="D7" sqref="D7"/>
      <pageMargins left="0.47244094488188998" right="0.47244094488188998" top="0.59055118110236204" bottom="0.59055118110236204" header="0.39370078740157499" footer="0.39370078740157499"/>
      <pageSetup scale="80" fitToHeight="0" orientation="landscape" r:id="rId3"/>
      <headerFooter alignWithMargins="0">
        <oddFooter>&amp;L&amp;8&amp;D  &amp;T&amp;R&amp;8March 2014, Version 0.2</oddFooter>
      </headerFooter>
    </customSheetView>
  </customSheetViews>
  <mergeCells count="12">
    <mergeCell ref="G1:M1"/>
    <mergeCell ref="B4:C5"/>
    <mergeCell ref="E4:H4"/>
    <mergeCell ref="I4:I5"/>
    <mergeCell ref="K4:K5"/>
    <mergeCell ref="F2:N2"/>
    <mergeCell ref="P4:Q4"/>
    <mergeCell ref="N3:N5"/>
    <mergeCell ref="G3:H3"/>
    <mergeCell ref="L4:L5"/>
    <mergeCell ref="M4:M5"/>
    <mergeCell ref="J4:J5"/>
  </mergeCells>
  <conditionalFormatting sqref="P8:Q41">
    <cfRule type="containsText" dxfId="190" priority="29" operator="containsText" text="NV">
      <formula>NOT(ISERROR(SEARCH("NV",P8)))</formula>
    </cfRule>
    <cfRule type="cellIs" dxfId="189" priority="33" operator="lessThan">
      <formula>-0.1</formula>
    </cfRule>
    <cfRule type="cellIs" dxfId="188" priority="34" operator="greaterThan">
      <formula>0.1</formula>
    </cfRule>
  </conditionalFormatting>
  <conditionalFormatting sqref="E44:N55">
    <cfRule type="cellIs" dxfId="187" priority="31" operator="lessThan">
      <formula>-0.5</formula>
    </cfRule>
    <cfRule type="cellIs" dxfId="186" priority="32" operator="greaterThan">
      <formula>0.5</formula>
    </cfRule>
  </conditionalFormatting>
  <conditionalFormatting sqref="E45:N55">
    <cfRule type="cellIs" dxfId="185" priority="25" operator="lessThan">
      <formula>-0.5</formula>
    </cfRule>
    <cfRule type="cellIs" dxfId="184" priority="26" operator="greaterThan">
      <formula>0.5</formula>
    </cfRule>
  </conditionalFormatting>
  <conditionalFormatting sqref="E56:N57 E60:N73 E58:F59 H58:K59 M58:N59">
    <cfRule type="containsText" dxfId="183" priority="27" operator="containsText" text="check">
      <formula>NOT(ISERROR(SEARCH("check",E56)))</formula>
    </cfRule>
  </conditionalFormatting>
  <conditionalFormatting sqref="E45:N51">
    <cfRule type="cellIs" dxfId="182" priority="20" operator="notBetween">
      <formula>-0.1</formula>
      <formula>0.1</formula>
    </cfRule>
    <cfRule type="cellIs" dxfId="181" priority="21" operator="between">
      <formula>-0.1</formula>
      <formula>0.1</formula>
    </cfRule>
  </conditionalFormatting>
  <conditionalFormatting sqref="P8:Q37">
    <cfRule type="cellIs" dxfId="180" priority="18" operator="between">
      <formula>-0.1</formula>
      <formula>0.1</formula>
    </cfRule>
    <cfRule type="containsText" dxfId="179" priority="19" operator="containsText" text="NA">
      <formula>NOT(ISERROR(SEARCH("NA",P8)))</formula>
    </cfRule>
  </conditionalFormatting>
  <conditionalFormatting sqref="E45:N51">
    <cfRule type="containsText" dxfId="178" priority="17" operator="containsText" text="NA">
      <formula>NOT(ISERROR(SEARCH("NA",E45)))</formula>
    </cfRule>
  </conditionalFormatting>
  <conditionalFormatting sqref="G58:G59">
    <cfRule type="containsText" dxfId="177" priority="6" operator="containsText" text="NV">
      <formula>NOT(ISERROR(SEARCH("NV",G58)))</formula>
    </cfRule>
    <cfRule type="containsText" dxfId="176" priority="7" operator="containsText" text="check">
      <formula>NOT(ISERROR(SEARCH("check",G58)))</formula>
    </cfRule>
  </conditionalFormatting>
  <conditionalFormatting sqref="L58:L59">
    <cfRule type="containsText" dxfId="175" priority="4" operator="containsText" text="NV">
      <formula>NOT(ISERROR(SEARCH("NV",L58)))</formula>
    </cfRule>
    <cfRule type="containsText" dxfId="174" priority="5" operator="containsText" text="check">
      <formula>NOT(ISERROR(SEARCH("check",L58)))</formula>
    </cfRule>
  </conditionalFormatting>
  <conditionalFormatting sqref="G58:L59">
    <cfRule type="containsText" dxfId="173" priority="1" operator="containsText" text="v">
      <formula>NOT(ISERROR(SEARCH("v",G58)))</formula>
    </cfRule>
    <cfRule type="containsText" dxfId="172" priority="2" operator="containsText" text="verificar">
      <formula>NOT(ISERROR(SEARCH("verificar",G58)))</formula>
    </cfRule>
    <cfRule type="containsText" dxfId="171" priority="3" operator="containsText" text="si">
      <formula>NOT(ISERROR(SEARCH("si",G58)))</formula>
    </cfRule>
  </conditionalFormatting>
  <pageMargins left="0.47244094488188998" right="0.47244094488188998" top="0.59055118110236204" bottom="0.59055118110236204" header="0.39370078740157499" footer="0.39370078740157499"/>
  <pageSetup scale="80" fitToHeight="0" orientation="landscape" r:id="rId4"/>
  <headerFooter alignWithMargins="0">
    <oddFooter>&amp;L&amp;8&amp;D  &amp;T&amp;R&amp;8March 2014, Version 0.2</oddFooter>
  </headerFooter>
  <legacyDrawing r:id="rId5"/>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indexed="52"/>
    <pageSetUpPr fitToPage="1"/>
  </sheetPr>
  <dimension ref="A1:Q255"/>
  <sheetViews>
    <sheetView zoomScaleNormal="100" workbookViewId="0">
      <pane xSplit="4" ySplit="7" topLeftCell="F8" activePane="bottomRight" state="frozen"/>
      <selection activeCell="Q53" sqref="P8:Q53"/>
      <selection pane="topRight" activeCell="Q53" sqref="P8:Q53"/>
      <selection pane="bottomLeft" activeCell="Q53" sqref="P8:Q53"/>
      <selection pane="bottomRight" activeCell="N36" sqref="N36"/>
    </sheetView>
  </sheetViews>
  <sheetFormatPr baseColWidth="10" defaultColWidth="9.140625" defaultRowHeight="12.75" x14ac:dyDescent="0.2"/>
  <cols>
    <col min="1" max="1" width="13.42578125" style="164" hidden="1" customWidth="1"/>
    <col min="2" max="2" width="7.28515625" style="221" customWidth="1"/>
    <col min="3" max="3" width="74.7109375" style="164" customWidth="1"/>
    <col min="4" max="4" width="0.85546875" style="164" customWidth="1"/>
    <col min="5" max="14" width="10" style="164" customWidth="1"/>
    <col min="15" max="15" width="3.28515625" style="164" customWidth="1"/>
    <col min="16" max="17" width="11.7109375" style="164" customWidth="1"/>
    <col min="18" max="18" width="9.140625" style="164" customWidth="1"/>
    <col min="19" max="16384" width="9.140625" style="164"/>
  </cols>
  <sheetData>
    <row r="1" spans="1:17" ht="14.25" x14ac:dyDescent="0.25">
      <c r="B1" s="513" t="str">
        <f>+Coverpage!A1</f>
        <v>GFSM2014_V1.5</v>
      </c>
      <c r="C1" s="514"/>
      <c r="D1" s="515"/>
      <c r="E1" s="516"/>
      <c r="F1" s="517"/>
      <c r="G1" s="771" t="str">
        <f>Reporting_Country_Name</f>
        <v>Colombia</v>
      </c>
      <c r="H1" s="771"/>
      <c r="I1" s="771"/>
      <c r="J1" s="771"/>
      <c r="K1" s="771"/>
      <c r="L1" s="771"/>
      <c r="M1" s="771"/>
      <c r="N1" s="661" t="str">
        <f>Reporting_Country_Code</f>
        <v>233</v>
      </c>
      <c r="O1" s="519"/>
      <c r="P1" s="653" t="s">
        <v>2731</v>
      </c>
      <c r="Q1" s="654"/>
    </row>
    <row r="2" spans="1:17" ht="14.25" x14ac:dyDescent="0.25">
      <c r="B2" s="513" t="s">
        <v>3145</v>
      </c>
      <c r="C2" s="582"/>
      <c r="D2" s="583"/>
      <c r="E2" s="523"/>
      <c r="F2" s="780" t="str">
        <f>"En "&amp;Coverpage!$I$15&amp;" de "&amp;Coverpage!$I$14&amp;" / El año fiscal termina en "&amp;Coverpage!$I$11&amp;" "&amp;Coverpage!$I$12</f>
        <v xml:space="preserve">En Billion de Colombian Pesos (COP) / El año fiscal termina en  </v>
      </c>
      <c r="G2" s="781"/>
      <c r="H2" s="781"/>
      <c r="I2" s="781"/>
      <c r="J2" s="781"/>
      <c r="K2" s="781"/>
      <c r="L2" s="781"/>
      <c r="M2" s="781"/>
      <c r="N2" s="781"/>
      <c r="O2" s="519"/>
      <c r="P2" s="655" t="s">
        <v>2732</v>
      </c>
      <c r="Q2" s="656"/>
    </row>
    <row r="3" spans="1:17" ht="12" customHeight="1" x14ac:dyDescent="0.25">
      <c r="B3" s="524"/>
      <c r="C3" s="525"/>
      <c r="D3" s="526"/>
      <c r="E3" s="527"/>
      <c r="F3" s="528"/>
      <c r="G3" s="784" t="s">
        <v>2726</v>
      </c>
      <c r="H3" s="784"/>
      <c r="I3" s="529" t="str">
        <f>Reporting_Period_Code</f>
        <v>2016</v>
      </c>
      <c r="J3" s="529"/>
      <c r="K3" s="528"/>
      <c r="L3" s="528"/>
      <c r="M3" s="530"/>
      <c r="N3" s="790" t="s">
        <v>2723</v>
      </c>
      <c r="O3" s="531"/>
      <c r="P3" s="168"/>
      <c r="Q3" s="168"/>
    </row>
    <row r="4" spans="1:17" ht="12" customHeight="1" x14ac:dyDescent="0.2">
      <c r="B4" s="796" t="s">
        <v>3144</v>
      </c>
      <c r="C4" s="797"/>
      <c r="D4" s="532"/>
      <c r="E4" s="787" t="s">
        <v>2727</v>
      </c>
      <c r="F4" s="788"/>
      <c r="G4" s="788"/>
      <c r="H4" s="789"/>
      <c r="I4" s="790" t="s">
        <v>2719</v>
      </c>
      <c r="J4" s="790" t="s">
        <v>2720</v>
      </c>
      <c r="K4" s="792" t="s">
        <v>2721</v>
      </c>
      <c r="L4" s="790" t="s">
        <v>2728</v>
      </c>
      <c r="M4" s="793" t="s">
        <v>2722</v>
      </c>
      <c r="N4" s="791"/>
      <c r="O4" s="531"/>
      <c r="P4" s="778" t="s">
        <v>2733</v>
      </c>
      <c r="Q4" s="779"/>
    </row>
    <row r="5" spans="1:17" ht="30" customHeight="1" x14ac:dyDescent="0.2">
      <c r="B5" s="796"/>
      <c r="C5" s="797"/>
      <c r="D5" s="532"/>
      <c r="E5" s="711" t="s">
        <v>2729</v>
      </c>
      <c r="F5" s="712" t="s">
        <v>2813</v>
      </c>
      <c r="G5" s="712" t="s">
        <v>2728</v>
      </c>
      <c r="H5" s="713" t="s">
        <v>2718</v>
      </c>
      <c r="I5" s="791"/>
      <c r="J5" s="791"/>
      <c r="K5" s="792"/>
      <c r="L5" s="791"/>
      <c r="M5" s="793"/>
      <c r="N5" s="791"/>
      <c r="O5" s="531"/>
      <c r="P5" s="668" t="s">
        <v>2734</v>
      </c>
      <c r="Q5" s="669" t="s">
        <v>2735</v>
      </c>
    </row>
    <row r="6" spans="1:17" ht="30" hidden="1" customHeight="1" x14ac:dyDescent="0.2">
      <c r="B6" s="618"/>
      <c r="C6" s="619"/>
      <c r="D6" s="532"/>
      <c r="E6" s="533" t="s">
        <v>1562</v>
      </c>
      <c r="F6" s="534" t="s">
        <v>1563</v>
      </c>
      <c r="G6" s="534" t="s">
        <v>1575</v>
      </c>
      <c r="H6" s="535" t="s">
        <v>634</v>
      </c>
      <c r="I6" s="535" t="s">
        <v>1564</v>
      </c>
      <c r="J6" s="534" t="s">
        <v>1574</v>
      </c>
      <c r="K6" s="535" t="s">
        <v>637</v>
      </c>
      <c r="L6" s="534" t="s">
        <v>1576</v>
      </c>
      <c r="M6" s="574" t="s">
        <v>1565</v>
      </c>
      <c r="N6" s="574" t="s">
        <v>1577</v>
      </c>
      <c r="O6" s="531"/>
      <c r="P6" s="169"/>
      <c r="Q6" s="170"/>
    </row>
    <row r="7" spans="1:17" ht="10.5" customHeight="1" x14ac:dyDescent="0.2">
      <c r="A7" s="143"/>
      <c r="B7" s="536"/>
      <c r="C7" s="537"/>
      <c r="D7" s="537"/>
      <c r="E7" s="538" t="s">
        <v>632</v>
      </c>
      <c r="F7" s="539" t="s">
        <v>633</v>
      </c>
      <c r="G7" s="540" t="s">
        <v>155</v>
      </c>
      <c r="H7" s="539" t="s">
        <v>634</v>
      </c>
      <c r="I7" s="540" t="s">
        <v>635</v>
      </c>
      <c r="J7" s="539" t="s">
        <v>636</v>
      </c>
      <c r="K7" s="540" t="s">
        <v>637</v>
      </c>
      <c r="L7" s="539" t="s">
        <v>156</v>
      </c>
      <c r="M7" s="541" t="s">
        <v>638</v>
      </c>
      <c r="N7" s="541" t="s">
        <v>639</v>
      </c>
      <c r="O7" s="531"/>
      <c r="P7" s="171" t="s">
        <v>640</v>
      </c>
      <c r="Q7" s="172" t="s">
        <v>641</v>
      </c>
    </row>
    <row r="8" spans="1:17" ht="15" customHeight="1" x14ac:dyDescent="0.25">
      <c r="A8" s="143" t="s">
        <v>1772</v>
      </c>
      <c r="B8" s="594" t="s">
        <v>61</v>
      </c>
      <c r="C8" s="595" t="s">
        <v>3131</v>
      </c>
      <c r="D8" s="586" t="s">
        <v>48</v>
      </c>
      <c r="E8" s="476">
        <f t="shared" ref="E8:N8" si="0">IF(OR(E9="NA",E14="NA",E25="NA"),"NA",IF(AND(E9="",E14="",E25=""),"",SUM(E9)+SUM(E14)-SUM(E25)))</f>
        <v>7243.1508520000007</v>
      </c>
      <c r="F8" s="476">
        <f t="shared" si="0"/>
        <v>285.20485300000001</v>
      </c>
      <c r="G8" s="476">
        <f>IF(OR(G14="NA",G25="NA"),"NA",IF(AND(G14="",G25=""),"",SUM(G9)+SUM(G14)-SUM(G25)))</f>
        <v>0</v>
      </c>
      <c r="H8" s="476">
        <f t="shared" ref="H8:K8" si="1">IF(OR(H9="NA",H14="NA",H25="NA"),"NA",IF(AND(H9="",H14="",H25=""),"",SUM(H9)+SUM(H14)-SUM(H25)))</f>
        <v>7528.3557050000018</v>
      </c>
      <c r="I8" s="476">
        <f t="shared" si="1"/>
        <v>1029.343961</v>
      </c>
      <c r="J8" s="476">
        <f t="shared" si="1"/>
        <v>2262.2010410000003</v>
      </c>
      <c r="K8" s="476">
        <f t="shared" si="1"/>
        <v>-1529.7030649999997</v>
      </c>
      <c r="L8" s="476">
        <f>IF(OR(L14="NA",L25="NA"),"NA",IF(AND(L14="",L25=""),"",SUM(L9)+SUM(L14)-SUM(L25)))</f>
        <v>0</v>
      </c>
      <c r="M8" s="476">
        <f t="shared" si="0"/>
        <v>9290.197642000001</v>
      </c>
      <c r="N8" s="145">
        <f t="shared" si="0"/>
        <v>8557.6996660000004</v>
      </c>
      <c r="O8" s="546"/>
      <c r="P8" s="458">
        <f t="shared" ref="P8:P36" si="2">IF(OR(H8="NA",E8="NA",F8="NA",G8="NA"),"NA",SUM(H8)-SUM(E8:G8))</f>
        <v>9.0949470177292824E-13</v>
      </c>
      <c r="Q8" s="459">
        <f t="shared" ref="Q8:Q36" si="3">IF(OR(M8="NA",H8="NA",I8="NA",J8="NA",K8="NA",L8="NA"),"NA",SUM(M8)-SUM(H8:L8))</f>
        <v>-1.8189894035458565E-12</v>
      </c>
    </row>
    <row r="9" spans="1:17" ht="14.25" x14ac:dyDescent="0.25">
      <c r="A9" s="143" t="s">
        <v>1773</v>
      </c>
      <c r="B9" s="629" t="s">
        <v>166</v>
      </c>
      <c r="C9" s="630" t="s">
        <v>3132</v>
      </c>
      <c r="D9" s="631" t="s">
        <v>48</v>
      </c>
      <c r="E9" s="92">
        <v>3908.2109930000001</v>
      </c>
      <c r="F9" s="92">
        <v>32.825665999999998</v>
      </c>
      <c r="G9" s="473">
        <v>0</v>
      </c>
      <c r="H9" s="92">
        <f>E9+F9+G9</f>
        <v>3941.0366590000003</v>
      </c>
      <c r="I9" s="92">
        <v>4.2473159999999996</v>
      </c>
      <c r="J9" s="92">
        <v>18.073660999999998</v>
      </c>
      <c r="K9" s="92">
        <v>106.909369</v>
      </c>
      <c r="L9" s="473">
        <v>0</v>
      </c>
      <c r="M9" s="92">
        <f>H9+I9+J9+K9</f>
        <v>4070.2670050000002</v>
      </c>
      <c r="N9" s="92">
        <f>H9+I9</f>
        <v>3945.2839750000003</v>
      </c>
      <c r="O9" s="546"/>
      <c r="P9" s="460">
        <f t="shared" si="2"/>
        <v>0</v>
      </c>
      <c r="Q9" s="461">
        <f t="shared" si="3"/>
        <v>0</v>
      </c>
    </row>
    <row r="10" spans="1:17" ht="14.25" hidden="1" x14ac:dyDescent="0.25">
      <c r="A10" s="143" t="s">
        <v>1774</v>
      </c>
      <c r="B10" s="549" t="s">
        <v>1180</v>
      </c>
      <c r="C10" s="550" t="s">
        <v>3133</v>
      </c>
      <c r="D10" s="611" t="s">
        <v>48</v>
      </c>
      <c r="E10" s="424" t="s">
        <v>2622</v>
      </c>
      <c r="F10" s="424" t="s">
        <v>2622</v>
      </c>
      <c r="G10" s="424" t="s">
        <v>2622</v>
      </c>
      <c r="H10" s="424" t="s">
        <v>2622</v>
      </c>
      <c r="I10" s="424" t="s">
        <v>2622</v>
      </c>
      <c r="J10" s="424" t="s">
        <v>2622</v>
      </c>
      <c r="K10" s="424" t="s">
        <v>2622</v>
      </c>
      <c r="L10" s="424" t="s">
        <v>2622</v>
      </c>
      <c r="M10" s="424" t="s">
        <v>2622</v>
      </c>
      <c r="N10" s="424" t="s">
        <v>2622</v>
      </c>
      <c r="O10" s="546"/>
      <c r="P10" s="460" t="str">
        <f t="shared" si="2"/>
        <v>NA</v>
      </c>
      <c r="Q10" s="461" t="str">
        <f t="shared" si="3"/>
        <v>NA</v>
      </c>
    </row>
    <row r="11" spans="1:17" ht="14.25" hidden="1" x14ac:dyDescent="0.25">
      <c r="A11" s="143" t="s">
        <v>1775</v>
      </c>
      <c r="B11" s="549" t="s">
        <v>1181</v>
      </c>
      <c r="C11" s="550" t="s">
        <v>3100</v>
      </c>
      <c r="D11" s="611" t="s">
        <v>48</v>
      </c>
      <c r="E11" s="424" t="s">
        <v>2622</v>
      </c>
      <c r="F11" s="424" t="s">
        <v>2622</v>
      </c>
      <c r="G11" s="424" t="s">
        <v>2622</v>
      </c>
      <c r="H11" s="424" t="s">
        <v>2622</v>
      </c>
      <c r="I11" s="424" t="s">
        <v>2622</v>
      </c>
      <c r="J11" s="424" t="s">
        <v>2622</v>
      </c>
      <c r="K11" s="424" t="s">
        <v>2622</v>
      </c>
      <c r="L11" s="424" t="s">
        <v>2622</v>
      </c>
      <c r="M11" s="424" t="s">
        <v>2622</v>
      </c>
      <c r="N11" s="424" t="s">
        <v>2622</v>
      </c>
      <c r="O11" s="546"/>
      <c r="P11" s="460" t="str">
        <f t="shared" si="2"/>
        <v>NA</v>
      </c>
      <c r="Q11" s="461" t="str">
        <f t="shared" si="3"/>
        <v>NA</v>
      </c>
    </row>
    <row r="12" spans="1:17" ht="14.25" hidden="1" x14ac:dyDescent="0.25">
      <c r="A12" s="143" t="s">
        <v>1776</v>
      </c>
      <c r="B12" s="549" t="s">
        <v>1182</v>
      </c>
      <c r="C12" s="550" t="s">
        <v>3101</v>
      </c>
      <c r="D12" s="611" t="s">
        <v>48</v>
      </c>
      <c r="E12" s="424" t="s">
        <v>2622</v>
      </c>
      <c r="F12" s="424" t="s">
        <v>2622</v>
      </c>
      <c r="G12" s="424" t="s">
        <v>2622</v>
      </c>
      <c r="H12" s="424" t="s">
        <v>2622</v>
      </c>
      <c r="I12" s="424" t="s">
        <v>2622</v>
      </c>
      <c r="J12" s="424" t="s">
        <v>2622</v>
      </c>
      <c r="K12" s="424" t="s">
        <v>2622</v>
      </c>
      <c r="L12" s="424" t="s">
        <v>2622</v>
      </c>
      <c r="M12" s="424" t="s">
        <v>2622</v>
      </c>
      <c r="N12" s="424" t="s">
        <v>2622</v>
      </c>
      <c r="O12" s="546"/>
      <c r="P12" s="460" t="str">
        <f t="shared" si="2"/>
        <v>NA</v>
      </c>
      <c r="Q12" s="461" t="str">
        <f t="shared" si="3"/>
        <v>NA</v>
      </c>
    </row>
    <row r="13" spans="1:17" ht="14.25" hidden="1" x14ac:dyDescent="0.25">
      <c r="A13" s="143" t="s">
        <v>1777</v>
      </c>
      <c r="B13" s="549" t="s">
        <v>1183</v>
      </c>
      <c r="C13" s="550" t="s">
        <v>3102</v>
      </c>
      <c r="D13" s="611" t="s">
        <v>48</v>
      </c>
      <c r="E13" s="424" t="s">
        <v>2622</v>
      </c>
      <c r="F13" s="424" t="s">
        <v>2622</v>
      </c>
      <c r="G13" s="424" t="s">
        <v>2622</v>
      </c>
      <c r="H13" s="424" t="s">
        <v>2622</v>
      </c>
      <c r="I13" s="424" t="s">
        <v>2622</v>
      </c>
      <c r="J13" s="424" t="s">
        <v>2622</v>
      </c>
      <c r="K13" s="424" t="s">
        <v>2622</v>
      </c>
      <c r="L13" s="424" t="s">
        <v>2622</v>
      </c>
      <c r="M13" s="424" t="s">
        <v>2622</v>
      </c>
      <c r="N13" s="424" t="s">
        <v>2622</v>
      </c>
      <c r="O13" s="546"/>
      <c r="P13" s="460" t="str">
        <f t="shared" si="2"/>
        <v>NA</v>
      </c>
      <c r="Q13" s="461" t="str">
        <f t="shared" si="3"/>
        <v>NA</v>
      </c>
    </row>
    <row r="14" spans="1:17" ht="14.25" x14ac:dyDescent="0.25">
      <c r="A14" s="143" t="s">
        <v>1778</v>
      </c>
      <c r="B14" s="549" t="s">
        <v>1184</v>
      </c>
      <c r="C14" s="532" t="s">
        <v>3134</v>
      </c>
      <c r="D14" s="611" t="s">
        <v>48</v>
      </c>
      <c r="E14" s="92">
        <v>-2741.8863179999998</v>
      </c>
      <c r="F14" s="92">
        <v>-78.706877999999989</v>
      </c>
      <c r="G14" s="92">
        <v>0</v>
      </c>
      <c r="H14" s="92">
        <f>E14+F14+G14</f>
        <v>-2820.5931959999998</v>
      </c>
      <c r="I14" s="92">
        <v>741.22042099999999</v>
      </c>
      <c r="J14" s="92">
        <v>696.51276800000005</v>
      </c>
      <c r="K14" s="92">
        <v>-2351.5206169999997</v>
      </c>
      <c r="L14" s="92">
        <v>0</v>
      </c>
      <c r="M14" s="92">
        <f>H14+I14+J14+K14+L14</f>
        <v>-3734.3806239999994</v>
      </c>
      <c r="N14" s="92">
        <f>H14+I14</f>
        <v>-2079.3727749999998</v>
      </c>
      <c r="O14" s="546"/>
      <c r="P14" s="460">
        <f t="shared" si="2"/>
        <v>0</v>
      </c>
      <c r="Q14" s="461">
        <f t="shared" si="3"/>
        <v>0</v>
      </c>
    </row>
    <row r="15" spans="1:17" ht="14.25" hidden="1" x14ac:dyDescent="0.25">
      <c r="A15" s="143" t="s">
        <v>1779</v>
      </c>
      <c r="B15" s="549" t="s">
        <v>149</v>
      </c>
      <c r="C15" s="550" t="s">
        <v>3104</v>
      </c>
      <c r="D15" s="611" t="s">
        <v>48</v>
      </c>
      <c r="E15" s="424" t="s">
        <v>2622</v>
      </c>
      <c r="F15" s="424" t="s">
        <v>2622</v>
      </c>
      <c r="G15" s="424" t="s">
        <v>2622</v>
      </c>
      <c r="H15" s="424" t="s">
        <v>2622</v>
      </c>
      <c r="I15" s="424" t="s">
        <v>2622</v>
      </c>
      <c r="J15" s="424" t="s">
        <v>2622</v>
      </c>
      <c r="K15" s="424" t="s">
        <v>2622</v>
      </c>
      <c r="L15" s="424" t="s">
        <v>2622</v>
      </c>
      <c r="M15" s="424" t="s">
        <v>2622</v>
      </c>
      <c r="N15" s="424" t="s">
        <v>2622</v>
      </c>
      <c r="O15" s="546"/>
      <c r="P15" s="460" t="str">
        <f t="shared" si="2"/>
        <v>NA</v>
      </c>
      <c r="Q15" s="461" t="str">
        <f t="shared" si="3"/>
        <v>NA</v>
      </c>
    </row>
    <row r="16" spans="1:17" s="270" customFormat="1" ht="14.25" hidden="1" x14ac:dyDescent="0.25">
      <c r="A16" s="143" t="s">
        <v>1780</v>
      </c>
      <c r="B16" s="549" t="s">
        <v>1185</v>
      </c>
      <c r="C16" s="550" t="s">
        <v>3105</v>
      </c>
      <c r="D16" s="611" t="s">
        <v>48</v>
      </c>
      <c r="E16" s="424" t="s">
        <v>2622</v>
      </c>
      <c r="F16" s="424" t="s">
        <v>2622</v>
      </c>
      <c r="G16" s="424" t="s">
        <v>2622</v>
      </c>
      <c r="H16" s="424" t="s">
        <v>2622</v>
      </c>
      <c r="I16" s="424" t="s">
        <v>2622</v>
      </c>
      <c r="J16" s="424" t="s">
        <v>2622</v>
      </c>
      <c r="K16" s="424" t="s">
        <v>2622</v>
      </c>
      <c r="L16" s="424" t="s">
        <v>2622</v>
      </c>
      <c r="M16" s="424" t="s">
        <v>2622</v>
      </c>
      <c r="N16" s="424" t="s">
        <v>2622</v>
      </c>
      <c r="O16" s="546"/>
      <c r="P16" s="460" t="str">
        <f t="shared" si="2"/>
        <v>NA</v>
      </c>
      <c r="Q16" s="461" t="str">
        <f t="shared" si="3"/>
        <v>NA</v>
      </c>
    </row>
    <row r="17" spans="1:17" s="270" customFormat="1" ht="14.25" hidden="1" x14ac:dyDescent="0.25">
      <c r="A17" s="143" t="s">
        <v>1781</v>
      </c>
      <c r="B17" s="549" t="s">
        <v>1186</v>
      </c>
      <c r="C17" s="550" t="s">
        <v>3106</v>
      </c>
      <c r="D17" s="611" t="s">
        <v>48</v>
      </c>
      <c r="E17" s="424" t="s">
        <v>2622</v>
      </c>
      <c r="F17" s="424" t="s">
        <v>2622</v>
      </c>
      <c r="G17" s="424" t="s">
        <v>2622</v>
      </c>
      <c r="H17" s="424" t="s">
        <v>2622</v>
      </c>
      <c r="I17" s="424" t="s">
        <v>2622</v>
      </c>
      <c r="J17" s="424" t="s">
        <v>2622</v>
      </c>
      <c r="K17" s="424" t="s">
        <v>2622</v>
      </c>
      <c r="L17" s="424" t="s">
        <v>2622</v>
      </c>
      <c r="M17" s="424" t="s">
        <v>2622</v>
      </c>
      <c r="N17" s="424" t="s">
        <v>2622</v>
      </c>
      <c r="O17" s="546"/>
      <c r="P17" s="460" t="str">
        <f t="shared" si="2"/>
        <v>NA</v>
      </c>
      <c r="Q17" s="461" t="str">
        <f t="shared" si="3"/>
        <v>NA</v>
      </c>
    </row>
    <row r="18" spans="1:17" s="270" customFormat="1" ht="14.25" hidden="1" x14ac:dyDescent="0.25">
      <c r="A18" s="143" t="s">
        <v>1782</v>
      </c>
      <c r="B18" s="549" t="s">
        <v>1187</v>
      </c>
      <c r="C18" s="550" t="s">
        <v>3107</v>
      </c>
      <c r="D18" s="611" t="s">
        <v>48</v>
      </c>
      <c r="E18" s="424" t="s">
        <v>2622</v>
      </c>
      <c r="F18" s="424" t="s">
        <v>2622</v>
      </c>
      <c r="G18" s="424" t="s">
        <v>2622</v>
      </c>
      <c r="H18" s="424" t="s">
        <v>2622</v>
      </c>
      <c r="I18" s="424" t="s">
        <v>2622</v>
      </c>
      <c r="J18" s="424" t="s">
        <v>2622</v>
      </c>
      <c r="K18" s="424" t="s">
        <v>2622</v>
      </c>
      <c r="L18" s="424" t="s">
        <v>2622</v>
      </c>
      <c r="M18" s="424" t="s">
        <v>2622</v>
      </c>
      <c r="N18" s="424" t="s">
        <v>2622</v>
      </c>
      <c r="O18" s="546"/>
      <c r="P18" s="460" t="str">
        <f t="shared" si="2"/>
        <v>NA</v>
      </c>
      <c r="Q18" s="461" t="str">
        <f t="shared" si="3"/>
        <v>NA</v>
      </c>
    </row>
    <row r="19" spans="1:17" s="270" customFormat="1" ht="14.25" hidden="1" x14ac:dyDescent="0.25">
      <c r="A19" s="143" t="s">
        <v>1783</v>
      </c>
      <c r="B19" s="549" t="s">
        <v>1188</v>
      </c>
      <c r="C19" s="550" t="s">
        <v>3108</v>
      </c>
      <c r="D19" s="611" t="s">
        <v>48</v>
      </c>
      <c r="E19" s="424" t="s">
        <v>2622</v>
      </c>
      <c r="F19" s="424" t="s">
        <v>2622</v>
      </c>
      <c r="G19" s="424" t="s">
        <v>2622</v>
      </c>
      <c r="H19" s="424" t="s">
        <v>2622</v>
      </c>
      <c r="I19" s="424" t="s">
        <v>2622</v>
      </c>
      <c r="J19" s="424" t="s">
        <v>2622</v>
      </c>
      <c r="K19" s="424" t="s">
        <v>2622</v>
      </c>
      <c r="L19" s="424" t="s">
        <v>2622</v>
      </c>
      <c r="M19" s="424" t="s">
        <v>2622</v>
      </c>
      <c r="N19" s="424" t="s">
        <v>2622</v>
      </c>
      <c r="O19" s="546"/>
      <c r="P19" s="460" t="str">
        <f t="shared" si="2"/>
        <v>NA</v>
      </c>
      <c r="Q19" s="461" t="str">
        <f t="shared" si="3"/>
        <v>NA</v>
      </c>
    </row>
    <row r="20" spans="1:17" s="270" customFormat="1" ht="14.25" hidden="1" x14ac:dyDescent="0.25">
      <c r="A20" s="143" t="s">
        <v>1784</v>
      </c>
      <c r="B20" s="549" t="s">
        <v>1189</v>
      </c>
      <c r="C20" s="550" t="s">
        <v>3109</v>
      </c>
      <c r="D20" s="611" t="s">
        <v>48</v>
      </c>
      <c r="E20" s="424" t="s">
        <v>2622</v>
      </c>
      <c r="F20" s="424" t="s">
        <v>2622</v>
      </c>
      <c r="G20" s="424" t="s">
        <v>2622</v>
      </c>
      <c r="H20" s="424" t="s">
        <v>2622</v>
      </c>
      <c r="I20" s="424" t="s">
        <v>2622</v>
      </c>
      <c r="J20" s="424" t="s">
        <v>2622</v>
      </c>
      <c r="K20" s="424" t="s">
        <v>2622</v>
      </c>
      <c r="L20" s="424" t="s">
        <v>2622</v>
      </c>
      <c r="M20" s="424" t="s">
        <v>2622</v>
      </c>
      <c r="N20" s="424" t="s">
        <v>2622</v>
      </c>
      <c r="O20" s="546"/>
      <c r="P20" s="460" t="str">
        <f t="shared" si="2"/>
        <v>NA</v>
      </c>
      <c r="Q20" s="461" t="str">
        <f t="shared" si="3"/>
        <v>NA</v>
      </c>
    </row>
    <row r="21" spans="1:17" s="270" customFormat="1" ht="14.25" hidden="1" x14ac:dyDescent="0.25">
      <c r="A21" s="143" t="s">
        <v>1785</v>
      </c>
      <c r="B21" s="549" t="s">
        <v>1190</v>
      </c>
      <c r="C21" s="550" t="s">
        <v>3110</v>
      </c>
      <c r="D21" s="611" t="s">
        <v>48</v>
      </c>
      <c r="E21" s="424" t="s">
        <v>2622</v>
      </c>
      <c r="F21" s="424" t="s">
        <v>2622</v>
      </c>
      <c r="G21" s="424" t="s">
        <v>2622</v>
      </c>
      <c r="H21" s="424" t="s">
        <v>2622</v>
      </c>
      <c r="I21" s="424" t="s">
        <v>2622</v>
      </c>
      <c r="J21" s="424" t="s">
        <v>2622</v>
      </c>
      <c r="K21" s="424" t="s">
        <v>2622</v>
      </c>
      <c r="L21" s="424" t="s">
        <v>2622</v>
      </c>
      <c r="M21" s="424" t="s">
        <v>2622</v>
      </c>
      <c r="N21" s="424" t="s">
        <v>2622</v>
      </c>
      <c r="O21" s="546"/>
      <c r="P21" s="460" t="str">
        <f t="shared" si="2"/>
        <v>NA</v>
      </c>
      <c r="Q21" s="461" t="str">
        <f t="shared" si="3"/>
        <v>NA</v>
      </c>
    </row>
    <row r="22" spans="1:17" s="270" customFormat="1" ht="14.25" hidden="1" x14ac:dyDescent="0.25">
      <c r="A22" s="143" t="s">
        <v>1786</v>
      </c>
      <c r="B22" s="549" t="s">
        <v>1191</v>
      </c>
      <c r="C22" s="550" t="s">
        <v>3111</v>
      </c>
      <c r="D22" s="611" t="s">
        <v>48</v>
      </c>
      <c r="E22" s="424" t="s">
        <v>2622</v>
      </c>
      <c r="F22" s="424" t="s">
        <v>2622</v>
      </c>
      <c r="G22" s="424" t="s">
        <v>2622</v>
      </c>
      <c r="H22" s="424" t="s">
        <v>2622</v>
      </c>
      <c r="I22" s="424" t="s">
        <v>2622</v>
      </c>
      <c r="J22" s="424" t="s">
        <v>2622</v>
      </c>
      <c r="K22" s="424" t="s">
        <v>2622</v>
      </c>
      <c r="L22" s="424" t="s">
        <v>2622</v>
      </c>
      <c r="M22" s="424" t="s">
        <v>2622</v>
      </c>
      <c r="N22" s="424" t="s">
        <v>2622</v>
      </c>
      <c r="O22" s="546"/>
      <c r="P22" s="460" t="str">
        <f t="shared" si="2"/>
        <v>NA</v>
      </c>
      <c r="Q22" s="461" t="str">
        <f t="shared" si="3"/>
        <v>NA</v>
      </c>
    </row>
    <row r="23" spans="1:17" ht="14.25" hidden="1" x14ac:dyDescent="0.25">
      <c r="A23" s="143" t="s">
        <v>1787</v>
      </c>
      <c r="B23" s="549" t="s">
        <v>1192</v>
      </c>
      <c r="C23" s="550" t="s">
        <v>3026</v>
      </c>
      <c r="D23" s="611" t="s">
        <v>48</v>
      </c>
      <c r="E23" s="424" t="s">
        <v>2622</v>
      </c>
      <c r="F23" s="424" t="s">
        <v>2622</v>
      </c>
      <c r="G23" s="424" t="s">
        <v>2622</v>
      </c>
      <c r="H23" s="424" t="s">
        <v>2622</v>
      </c>
      <c r="I23" s="424" t="s">
        <v>2622</v>
      </c>
      <c r="J23" s="424" t="s">
        <v>2622</v>
      </c>
      <c r="K23" s="424" t="s">
        <v>2622</v>
      </c>
      <c r="L23" s="424" t="s">
        <v>2622</v>
      </c>
      <c r="M23" s="424" t="s">
        <v>2622</v>
      </c>
      <c r="N23" s="424" t="s">
        <v>2622</v>
      </c>
      <c r="O23" s="546"/>
      <c r="P23" s="460" t="str">
        <f t="shared" si="2"/>
        <v>NA</v>
      </c>
      <c r="Q23" s="461" t="str">
        <f t="shared" si="3"/>
        <v>NA</v>
      </c>
    </row>
    <row r="24" spans="1:17" ht="14.25" hidden="1" x14ac:dyDescent="0.25">
      <c r="A24" s="143" t="s">
        <v>1788</v>
      </c>
      <c r="B24" s="549" t="s">
        <v>1193</v>
      </c>
      <c r="C24" s="550" t="s">
        <v>3035</v>
      </c>
      <c r="D24" s="611" t="s">
        <v>48</v>
      </c>
      <c r="E24" s="424" t="s">
        <v>2622</v>
      </c>
      <c r="F24" s="424" t="s">
        <v>2622</v>
      </c>
      <c r="G24" s="424" t="s">
        <v>2622</v>
      </c>
      <c r="H24" s="424" t="s">
        <v>2622</v>
      </c>
      <c r="I24" s="424" t="s">
        <v>2622</v>
      </c>
      <c r="J24" s="424" t="s">
        <v>2622</v>
      </c>
      <c r="K24" s="424" t="s">
        <v>2622</v>
      </c>
      <c r="L24" s="424" t="s">
        <v>2622</v>
      </c>
      <c r="M24" s="424" t="s">
        <v>2622</v>
      </c>
      <c r="N24" s="424" t="s">
        <v>2622</v>
      </c>
      <c r="O24" s="546"/>
      <c r="P24" s="460" t="str">
        <f t="shared" si="2"/>
        <v>NA</v>
      </c>
      <c r="Q24" s="461" t="str">
        <f t="shared" si="3"/>
        <v>NA</v>
      </c>
    </row>
    <row r="25" spans="1:17" ht="14.25" x14ac:dyDescent="0.25">
      <c r="A25" s="143" t="s">
        <v>1789</v>
      </c>
      <c r="B25" s="551" t="s">
        <v>1194</v>
      </c>
      <c r="C25" s="553" t="s">
        <v>3135</v>
      </c>
      <c r="D25" s="632" t="s">
        <v>48</v>
      </c>
      <c r="E25" s="92">
        <v>-6076.8261770000008</v>
      </c>
      <c r="F25" s="92">
        <v>-331.08606500000002</v>
      </c>
      <c r="G25" s="92">
        <v>0</v>
      </c>
      <c r="H25" s="92">
        <f>E25+F25+G25</f>
        <v>-6407.9122420000012</v>
      </c>
      <c r="I25" s="92">
        <v>-283.87622399999998</v>
      </c>
      <c r="J25" s="92">
        <v>-1547.6146120000001</v>
      </c>
      <c r="K25" s="92">
        <v>-714.90818299999989</v>
      </c>
      <c r="L25" s="92">
        <v>0</v>
      </c>
      <c r="M25" s="92">
        <f>H25+I25+J25+K25+L25</f>
        <v>-8954.3112610000007</v>
      </c>
      <c r="N25" s="92">
        <f>H25+I25</f>
        <v>-6691.7884660000009</v>
      </c>
      <c r="O25" s="546"/>
      <c r="P25" s="460">
        <f t="shared" si="2"/>
        <v>0</v>
      </c>
      <c r="Q25" s="461">
        <f t="shared" si="3"/>
        <v>0</v>
      </c>
    </row>
    <row r="26" spans="1:17" s="270" customFormat="1" ht="12.2" hidden="1" customHeight="1" x14ac:dyDescent="0.25">
      <c r="A26" s="143" t="s">
        <v>1790</v>
      </c>
      <c r="B26" s="549" t="s">
        <v>1195</v>
      </c>
      <c r="C26" s="550" t="s">
        <v>3113</v>
      </c>
      <c r="D26" s="532" t="s">
        <v>48</v>
      </c>
      <c r="E26" s="424" t="s">
        <v>2622</v>
      </c>
      <c r="F26" s="424" t="s">
        <v>2622</v>
      </c>
      <c r="G26" s="424" t="s">
        <v>2622</v>
      </c>
      <c r="H26" s="424" t="s">
        <v>2622</v>
      </c>
      <c r="I26" s="424" t="s">
        <v>2622</v>
      </c>
      <c r="J26" s="424" t="s">
        <v>2622</v>
      </c>
      <c r="K26" s="424" t="s">
        <v>2622</v>
      </c>
      <c r="L26" s="424" t="s">
        <v>2622</v>
      </c>
      <c r="M26" s="424" t="s">
        <v>2622</v>
      </c>
      <c r="N26" s="424" t="s">
        <v>2622</v>
      </c>
      <c r="O26" s="546"/>
      <c r="P26" s="460" t="str">
        <f t="shared" si="2"/>
        <v>NA</v>
      </c>
      <c r="Q26" s="461" t="str">
        <f t="shared" si="3"/>
        <v>NA</v>
      </c>
    </row>
    <row r="27" spans="1:17" s="270" customFormat="1" ht="10.35" hidden="1" customHeight="1" x14ac:dyDescent="0.25">
      <c r="A27" s="143" t="s">
        <v>1791</v>
      </c>
      <c r="B27" s="549" t="s">
        <v>1196</v>
      </c>
      <c r="C27" s="550" t="s">
        <v>3114</v>
      </c>
      <c r="D27" s="532" t="s">
        <v>48</v>
      </c>
      <c r="E27" s="424" t="s">
        <v>2622</v>
      </c>
      <c r="F27" s="424" t="s">
        <v>2622</v>
      </c>
      <c r="G27" s="424" t="s">
        <v>2622</v>
      </c>
      <c r="H27" s="424" t="s">
        <v>2622</v>
      </c>
      <c r="I27" s="424" t="s">
        <v>2622</v>
      </c>
      <c r="J27" s="424" t="s">
        <v>2622</v>
      </c>
      <c r="K27" s="424" t="s">
        <v>2622</v>
      </c>
      <c r="L27" s="424" t="s">
        <v>2622</v>
      </c>
      <c r="M27" s="424" t="s">
        <v>2622</v>
      </c>
      <c r="N27" s="424" t="s">
        <v>2622</v>
      </c>
      <c r="O27" s="546"/>
      <c r="P27" s="460" t="str">
        <f t="shared" si="2"/>
        <v>NA</v>
      </c>
      <c r="Q27" s="461" t="str">
        <f t="shared" si="3"/>
        <v>NA</v>
      </c>
    </row>
    <row r="28" spans="1:17" s="270" customFormat="1" ht="10.35" hidden="1" customHeight="1" x14ac:dyDescent="0.25">
      <c r="A28" s="143" t="s">
        <v>1792</v>
      </c>
      <c r="B28" s="549" t="s">
        <v>1197</v>
      </c>
      <c r="C28" s="550" t="s">
        <v>3115</v>
      </c>
      <c r="D28" s="532" t="s">
        <v>48</v>
      </c>
      <c r="E28" s="424" t="s">
        <v>2622</v>
      </c>
      <c r="F28" s="424" t="s">
        <v>2622</v>
      </c>
      <c r="G28" s="424" t="s">
        <v>2622</v>
      </c>
      <c r="H28" s="424" t="s">
        <v>2622</v>
      </c>
      <c r="I28" s="424" t="s">
        <v>2622</v>
      </c>
      <c r="J28" s="424" t="s">
        <v>2622</v>
      </c>
      <c r="K28" s="424" t="s">
        <v>2622</v>
      </c>
      <c r="L28" s="424" t="s">
        <v>2622</v>
      </c>
      <c r="M28" s="424" t="s">
        <v>2622</v>
      </c>
      <c r="N28" s="424" t="s">
        <v>2622</v>
      </c>
      <c r="O28" s="546"/>
      <c r="P28" s="460" t="str">
        <f t="shared" si="2"/>
        <v>NA</v>
      </c>
      <c r="Q28" s="461" t="str">
        <f t="shared" si="3"/>
        <v>NA</v>
      </c>
    </row>
    <row r="29" spans="1:17" s="270" customFormat="1" ht="10.35" hidden="1" customHeight="1" x14ac:dyDescent="0.25">
      <c r="A29" s="143" t="s">
        <v>1793</v>
      </c>
      <c r="B29" s="549" t="s">
        <v>1198</v>
      </c>
      <c r="C29" s="550" t="s">
        <v>3116</v>
      </c>
      <c r="D29" s="532" t="s">
        <v>48</v>
      </c>
      <c r="E29" s="424" t="s">
        <v>2622</v>
      </c>
      <c r="F29" s="424" t="s">
        <v>2622</v>
      </c>
      <c r="G29" s="424" t="s">
        <v>2622</v>
      </c>
      <c r="H29" s="424" t="s">
        <v>2622</v>
      </c>
      <c r="I29" s="424" t="s">
        <v>2622</v>
      </c>
      <c r="J29" s="424" t="s">
        <v>2622</v>
      </c>
      <c r="K29" s="424" t="s">
        <v>2622</v>
      </c>
      <c r="L29" s="424" t="s">
        <v>2622</v>
      </c>
      <c r="M29" s="424" t="s">
        <v>2622</v>
      </c>
      <c r="N29" s="424" t="s">
        <v>2622</v>
      </c>
      <c r="O29" s="546"/>
      <c r="P29" s="460" t="str">
        <f t="shared" si="2"/>
        <v>NA</v>
      </c>
      <c r="Q29" s="461" t="str">
        <f t="shared" si="3"/>
        <v>NA</v>
      </c>
    </row>
    <row r="30" spans="1:17" s="270" customFormat="1" ht="10.35" hidden="1" customHeight="1" x14ac:dyDescent="0.25">
      <c r="A30" s="143" t="s">
        <v>1794</v>
      </c>
      <c r="B30" s="549" t="s">
        <v>1199</v>
      </c>
      <c r="C30" s="550" t="s">
        <v>3117</v>
      </c>
      <c r="D30" s="532" t="s">
        <v>48</v>
      </c>
      <c r="E30" s="424" t="s">
        <v>2622</v>
      </c>
      <c r="F30" s="424" t="s">
        <v>2622</v>
      </c>
      <c r="G30" s="424" t="s">
        <v>2622</v>
      </c>
      <c r="H30" s="424" t="s">
        <v>2622</v>
      </c>
      <c r="I30" s="424" t="s">
        <v>2622</v>
      </c>
      <c r="J30" s="424" t="s">
        <v>2622</v>
      </c>
      <c r="K30" s="424" t="s">
        <v>2622</v>
      </c>
      <c r="L30" s="424" t="s">
        <v>2622</v>
      </c>
      <c r="M30" s="424" t="s">
        <v>2622</v>
      </c>
      <c r="N30" s="424" t="s">
        <v>2622</v>
      </c>
      <c r="O30" s="546"/>
      <c r="P30" s="460" t="str">
        <f t="shared" si="2"/>
        <v>NA</v>
      </c>
      <c r="Q30" s="461" t="str">
        <f t="shared" si="3"/>
        <v>NA</v>
      </c>
    </row>
    <row r="31" spans="1:17" s="270" customFormat="1" ht="10.35" hidden="1" customHeight="1" x14ac:dyDescent="0.25">
      <c r="A31" s="143" t="s">
        <v>1795</v>
      </c>
      <c r="B31" s="549" t="s">
        <v>1200</v>
      </c>
      <c r="C31" s="550" t="s">
        <v>3136</v>
      </c>
      <c r="D31" s="532" t="s">
        <v>48</v>
      </c>
      <c r="E31" s="424" t="s">
        <v>2622</v>
      </c>
      <c r="F31" s="424" t="s">
        <v>2622</v>
      </c>
      <c r="G31" s="424" t="s">
        <v>2622</v>
      </c>
      <c r="H31" s="424" t="s">
        <v>2622</v>
      </c>
      <c r="I31" s="424" t="s">
        <v>2622</v>
      </c>
      <c r="J31" s="424" t="s">
        <v>2622</v>
      </c>
      <c r="K31" s="424" t="s">
        <v>2622</v>
      </c>
      <c r="L31" s="424" t="s">
        <v>2622</v>
      </c>
      <c r="M31" s="424" t="s">
        <v>2622</v>
      </c>
      <c r="N31" s="424" t="s">
        <v>2622</v>
      </c>
      <c r="O31" s="546"/>
      <c r="P31" s="460" t="str">
        <f t="shared" si="2"/>
        <v>NA</v>
      </c>
      <c r="Q31" s="461" t="str">
        <f t="shared" si="3"/>
        <v>NA</v>
      </c>
    </row>
    <row r="32" spans="1:17" s="270" customFormat="1" ht="10.35" hidden="1" customHeight="1" x14ac:dyDescent="0.25">
      <c r="A32" s="143" t="s">
        <v>1796</v>
      </c>
      <c r="B32" s="549" t="s">
        <v>1201</v>
      </c>
      <c r="C32" s="550" t="s">
        <v>3119</v>
      </c>
      <c r="D32" s="532" t="s">
        <v>48</v>
      </c>
      <c r="E32" s="424" t="s">
        <v>2622</v>
      </c>
      <c r="F32" s="424" t="s">
        <v>2622</v>
      </c>
      <c r="G32" s="424" t="s">
        <v>2622</v>
      </c>
      <c r="H32" s="424" t="s">
        <v>2622</v>
      </c>
      <c r="I32" s="424" t="s">
        <v>2622</v>
      </c>
      <c r="J32" s="424" t="s">
        <v>2622</v>
      </c>
      <c r="K32" s="424" t="s">
        <v>2622</v>
      </c>
      <c r="L32" s="424" t="s">
        <v>2622</v>
      </c>
      <c r="M32" s="424" t="s">
        <v>2622</v>
      </c>
      <c r="N32" s="424" t="s">
        <v>2622</v>
      </c>
      <c r="O32" s="546"/>
      <c r="P32" s="460" t="str">
        <f t="shared" si="2"/>
        <v>NA</v>
      </c>
      <c r="Q32" s="461" t="str">
        <f t="shared" si="3"/>
        <v>NA</v>
      </c>
    </row>
    <row r="33" spans="1:17" s="270" customFormat="1" ht="10.35" hidden="1" customHeight="1" x14ac:dyDescent="0.25">
      <c r="A33" s="143" t="s">
        <v>1797</v>
      </c>
      <c r="B33" s="549" t="s">
        <v>1202</v>
      </c>
      <c r="C33" s="550" t="s">
        <v>3120</v>
      </c>
      <c r="D33" s="532" t="s">
        <v>48</v>
      </c>
      <c r="E33" s="424" t="s">
        <v>2622</v>
      </c>
      <c r="F33" s="424" t="s">
        <v>2622</v>
      </c>
      <c r="G33" s="424" t="s">
        <v>2622</v>
      </c>
      <c r="H33" s="424" t="s">
        <v>2622</v>
      </c>
      <c r="I33" s="424" t="s">
        <v>2622</v>
      </c>
      <c r="J33" s="424" t="s">
        <v>2622</v>
      </c>
      <c r="K33" s="424" t="s">
        <v>2622</v>
      </c>
      <c r="L33" s="424" t="s">
        <v>2622</v>
      </c>
      <c r="M33" s="424" t="s">
        <v>2622</v>
      </c>
      <c r="N33" s="424" t="s">
        <v>2622</v>
      </c>
      <c r="O33" s="546"/>
      <c r="P33" s="460" t="str">
        <f t="shared" si="2"/>
        <v>NA</v>
      </c>
      <c r="Q33" s="461" t="str">
        <f t="shared" si="3"/>
        <v>NA</v>
      </c>
    </row>
    <row r="34" spans="1:17" ht="15" hidden="1" customHeight="1" x14ac:dyDescent="0.25">
      <c r="A34" s="143" t="s">
        <v>1798</v>
      </c>
      <c r="B34" s="547" t="s">
        <v>1203</v>
      </c>
      <c r="C34" s="601" t="s">
        <v>3137</v>
      </c>
      <c r="D34" s="532" t="s">
        <v>48</v>
      </c>
      <c r="E34" s="424" t="s">
        <v>2622</v>
      </c>
      <c r="F34" s="424" t="s">
        <v>2622</v>
      </c>
      <c r="G34" s="424" t="s">
        <v>2622</v>
      </c>
      <c r="H34" s="424" t="s">
        <v>2622</v>
      </c>
      <c r="I34" s="424" t="s">
        <v>2622</v>
      </c>
      <c r="J34" s="424" t="s">
        <v>2622</v>
      </c>
      <c r="K34" s="424" t="s">
        <v>2622</v>
      </c>
      <c r="L34" s="424" t="s">
        <v>2622</v>
      </c>
      <c r="M34" s="424" t="s">
        <v>2622</v>
      </c>
      <c r="N34" s="424" t="s">
        <v>2622</v>
      </c>
      <c r="O34" s="546"/>
      <c r="P34" s="460" t="str">
        <f t="shared" si="2"/>
        <v>NA</v>
      </c>
      <c r="Q34" s="461" t="str">
        <f t="shared" si="3"/>
        <v>NA</v>
      </c>
    </row>
    <row r="35" spans="1:17" ht="15" hidden="1" customHeight="1" x14ac:dyDescent="0.25">
      <c r="A35" s="143" t="s">
        <v>1799</v>
      </c>
      <c r="B35" s="627" t="s">
        <v>1204</v>
      </c>
      <c r="C35" s="628" t="s">
        <v>3138</v>
      </c>
      <c r="D35" s="532" t="s">
        <v>48</v>
      </c>
      <c r="E35" s="424" t="s">
        <v>2622</v>
      </c>
      <c r="F35" s="424" t="s">
        <v>2622</v>
      </c>
      <c r="G35" s="424" t="s">
        <v>2622</v>
      </c>
      <c r="H35" s="424" t="s">
        <v>2622</v>
      </c>
      <c r="I35" s="424" t="s">
        <v>2622</v>
      </c>
      <c r="J35" s="424" t="s">
        <v>2622</v>
      </c>
      <c r="K35" s="424" t="s">
        <v>2622</v>
      </c>
      <c r="L35" s="424" t="s">
        <v>2622</v>
      </c>
      <c r="M35" s="424" t="s">
        <v>2622</v>
      </c>
      <c r="N35" s="424" t="s">
        <v>2622</v>
      </c>
      <c r="O35" s="546"/>
      <c r="P35" s="460" t="str">
        <f t="shared" si="2"/>
        <v>NA</v>
      </c>
      <c r="Q35" s="461" t="str">
        <f t="shared" si="3"/>
        <v>NA</v>
      </c>
    </row>
    <row r="36" spans="1:17" ht="15" customHeight="1" x14ac:dyDescent="0.25">
      <c r="A36" s="143"/>
      <c r="B36" s="591" t="s">
        <v>990</v>
      </c>
      <c r="C36" s="568" t="s">
        <v>2768</v>
      </c>
      <c r="D36" s="532" t="s">
        <v>48</v>
      </c>
      <c r="E36" s="635" t="s">
        <v>990</v>
      </c>
      <c r="F36" s="635" t="s">
        <v>990</v>
      </c>
      <c r="G36" s="635" t="s">
        <v>990</v>
      </c>
      <c r="H36" s="636" t="s">
        <v>990</v>
      </c>
      <c r="I36" s="635" t="s">
        <v>990</v>
      </c>
      <c r="J36" s="635" t="s">
        <v>990</v>
      </c>
      <c r="K36" s="636" t="s">
        <v>990</v>
      </c>
      <c r="L36" s="635" t="s">
        <v>990</v>
      </c>
      <c r="M36" s="637" t="s">
        <v>990</v>
      </c>
      <c r="N36" s="635" t="s">
        <v>990</v>
      </c>
      <c r="O36" s="546"/>
      <c r="P36" s="460">
        <f t="shared" si="2"/>
        <v>0</v>
      </c>
      <c r="Q36" s="461">
        <f t="shared" si="3"/>
        <v>0</v>
      </c>
    </row>
    <row r="37" spans="1:17" ht="10.9" customHeight="1" x14ac:dyDescent="0.25">
      <c r="A37" s="143" t="s">
        <v>1800</v>
      </c>
      <c r="B37" s="536" t="s">
        <v>70</v>
      </c>
      <c r="C37" s="563" t="s">
        <v>3139</v>
      </c>
      <c r="D37" s="537" t="s">
        <v>48</v>
      </c>
      <c r="E37" s="153">
        <v>3334.939859000001</v>
      </c>
      <c r="F37" s="153">
        <v>252.37918700000003</v>
      </c>
      <c r="G37" s="153">
        <v>0</v>
      </c>
      <c r="H37" s="153">
        <f>E37+F37+G37</f>
        <v>3587.319046000001</v>
      </c>
      <c r="I37" s="153">
        <v>1025.0966450000001</v>
      </c>
      <c r="J37" s="153">
        <v>2244.1273799999999</v>
      </c>
      <c r="K37" s="153">
        <v>-1636.6124339999997</v>
      </c>
      <c r="L37" s="153">
        <v>0</v>
      </c>
      <c r="M37" s="153">
        <f>H37+I37+J37+K37+L37</f>
        <v>5219.9306370000013</v>
      </c>
      <c r="N37" s="153">
        <f>H37+I37</f>
        <v>4612.4156910000011</v>
      </c>
      <c r="O37" s="546"/>
      <c r="P37" s="462">
        <f>IF(OR(H37="NA",E37="NA",F37="NA",G37="NA"),"NA",SUM(H37)-SUM(E37:G37))</f>
        <v>0</v>
      </c>
      <c r="Q37" s="463">
        <f>IF(OR(M37="NA",H37="NA",I37="NA",J37="NA",K37="NA",L37="NA"),"NA",SUM(M37)-SUM(H37:L37))</f>
        <v>0</v>
      </c>
    </row>
    <row r="38" spans="1:17" ht="10.9" hidden="1" customHeight="1" x14ac:dyDescent="0.25">
      <c r="A38" s="143" t="s">
        <v>2431</v>
      </c>
      <c r="B38" s="549" t="s">
        <v>71</v>
      </c>
      <c r="C38" s="550" t="s">
        <v>3140</v>
      </c>
      <c r="D38" s="532" t="s">
        <v>48</v>
      </c>
      <c r="E38" s="424" t="s">
        <v>2622</v>
      </c>
      <c r="F38" s="424" t="s">
        <v>2622</v>
      </c>
      <c r="G38" s="424" t="s">
        <v>2622</v>
      </c>
      <c r="H38" s="424" t="s">
        <v>2622</v>
      </c>
      <c r="I38" s="424" t="s">
        <v>2622</v>
      </c>
      <c r="J38" s="424" t="s">
        <v>2622</v>
      </c>
      <c r="K38" s="424" t="s">
        <v>2622</v>
      </c>
      <c r="L38" s="424" t="s">
        <v>2622</v>
      </c>
      <c r="M38" s="424" t="s">
        <v>2622</v>
      </c>
      <c r="N38" s="424" t="s">
        <v>2622</v>
      </c>
      <c r="O38" s="546"/>
      <c r="P38" s="178" t="str">
        <f>IF(OR(H38="NA",E38="NA",F38="NA",G38="NA"),"NA",SUM(H38)-SUM(E38:G38))</f>
        <v>NA</v>
      </c>
      <c r="Q38" s="179" t="str">
        <f>IF(OR(M38="NA",H38="NA",I38="NA",J38="NA",K38="NA",L38="NA"),"NA",SUM(M38)-SUM(H38:L38))</f>
        <v>NA</v>
      </c>
    </row>
    <row r="39" spans="1:17" ht="10.9" hidden="1" customHeight="1" x14ac:dyDescent="0.25">
      <c r="A39" s="143" t="s">
        <v>2042</v>
      </c>
      <c r="B39" s="549" t="s">
        <v>664</v>
      </c>
      <c r="C39" s="602" t="s">
        <v>3141</v>
      </c>
      <c r="D39" s="532" t="s">
        <v>48</v>
      </c>
      <c r="E39" s="424" t="s">
        <v>2622</v>
      </c>
      <c r="F39" s="424" t="s">
        <v>2622</v>
      </c>
      <c r="G39" s="424" t="s">
        <v>2622</v>
      </c>
      <c r="H39" s="424" t="s">
        <v>2622</v>
      </c>
      <c r="I39" s="424" t="s">
        <v>2622</v>
      </c>
      <c r="J39" s="424" t="s">
        <v>2622</v>
      </c>
      <c r="K39" s="424" t="s">
        <v>2622</v>
      </c>
      <c r="L39" s="424" t="s">
        <v>2622</v>
      </c>
      <c r="M39" s="424" t="s">
        <v>2622</v>
      </c>
      <c r="N39" s="424" t="s">
        <v>2622</v>
      </c>
      <c r="O39" s="546"/>
      <c r="P39" s="178" t="str">
        <f>IF(OR(H39="NA",E39="NA",F39="NA",G39="NA"),"NA",SUM(H39)-SUM(E39:G39))</f>
        <v>NA</v>
      </c>
      <c r="Q39" s="179" t="str">
        <f>IF(OR(M39="NA",H39="NA",I39="NA",J39="NA",K39="NA",L39="NA"),"NA",SUM(M39)-SUM(H39:L39))</f>
        <v>NA</v>
      </c>
    </row>
    <row r="40" spans="1:17" ht="10.9" hidden="1" customHeight="1" x14ac:dyDescent="0.25">
      <c r="A40" s="143" t="s">
        <v>2043</v>
      </c>
      <c r="B40" s="549" t="s">
        <v>665</v>
      </c>
      <c r="C40" s="602" t="s">
        <v>3142</v>
      </c>
      <c r="D40" s="532" t="s">
        <v>48</v>
      </c>
      <c r="E40" s="424" t="s">
        <v>2622</v>
      </c>
      <c r="F40" s="424" t="s">
        <v>2622</v>
      </c>
      <c r="G40" s="424" t="s">
        <v>2622</v>
      </c>
      <c r="H40" s="424" t="s">
        <v>2622</v>
      </c>
      <c r="I40" s="424" t="s">
        <v>2622</v>
      </c>
      <c r="J40" s="424" t="s">
        <v>2622</v>
      </c>
      <c r="K40" s="424" t="s">
        <v>2622</v>
      </c>
      <c r="L40" s="424" t="s">
        <v>2622</v>
      </c>
      <c r="M40" s="424" t="s">
        <v>2622</v>
      </c>
      <c r="N40" s="424" t="s">
        <v>2622</v>
      </c>
      <c r="O40" s="546"/>
      <c r="P40" s="178" t="str">
        <f>IF(OR(H40="NA",E40="NA",F40="NA",G40="NA"),"NA",SUM(H40)-SUM(E40:G40))</f>
        <v>NA</v>
      </c>
      <c r="Q40" s="179" t="str">
        <f>IF(OR(M40="NA",H40="NA",I40="NA",J40="NA",K40="NA",L40="NA"),"NA",SUM(M40)-SUM(H40:L40))</f>
        <v>NA</v>
      </c>
    </row>
    <row r="41" spans="1:17" ht="10.9" hidden="1" customHeight="1" x14ac:dyDescent="0.25">
      <c r="A41" s="143" t="s">
        <v>2044</v>
      </c>
      <c r="B41" s="536" t="s">
        <v>666</v>
      </c>
      <c r="C41" s="608" t="s">
        <v>3143</v>
      </c>
      <c r="D41" s="537" t="s">
        <v>48</v>
      </c>
      <c r="E41" s="424" t="s">
        <v>2622</v>
      </c>
      <c r="F41" s="424" t="s">
        <v>2622</v>
      </c>
      <c r="G41" s="424" t="s">
        <v>2622</v>
      </c>
      <c r="H41" s="424" t="s">
        <v>2622</v>
      </c>
      <c r="I41" s="424" t="s">
        <v>2622</v>
      </c>
      <c r="J41" s="424" t="s">
        <v>2622</v>
      </c>
      <c r="K41" s="424" t="s">
        <v>2622</v>
      </c>
      <c r="L41" s="424" t="s">
        <v>2622</v>
      </c>
      <c r="M41" s="424" t="s">
        <v>2622</v>
      </c>
      <c r="N41" s="424" t="s">
        <v>2622</v>
      </c>
      <c r="O41" s="546"/>
      <c r="P41" s="188" t="str">
        <f>IF(OR(H41="NA",E41="NA",F41="NA",G41="NA"),"NA",SUM(H41)-SUM(E41:G41))</f>
        <v>NA</v>
      </c>
      <c r="Q41" s="189" t="str">
        <f>IF(OR(M41="NA",H41="NA",I41="NA",J41="NA",K41="NA",L41="NA"),"NA",SUM(M41)-SUM(H41:L41))</f>
        <v>NA</v>
      </c>
    </row>
    <row r="42" spans="1:17" ht="10.5" customHeight="1" x14ac:dyDescent="0.25">
      <c r="B42" s="580"/>
      <c r="C42" s="602"/>
      <c r="D42" s="531"/>
      <c r="E42" s="581"/>
      <c r="F42" s="581"/>
      <c r="G42" s="581"/>
      <c r="H42" s="581"/>
      <c r="I42" s="581"/>
      <c r="J42" s="581"/>
      <c r="K42" s="581"/>
      <c r="L42" s="581"/>
      <c r="M42" s="581"/>
      <c r="N42" s="581"/>
      <c r="O42" s="546"/>
      <c r="P42" s="258"/>
      <c r="Q42" s="258"/>
    </row>
    <row r="43" spans="1:17" s="279" customFormat="1" ht="15" customHeight="1" x14ac:dyDescent="0.2">
      <c r="B43" s="717" t="s">
        <v>3146</v>
      </c>
      <c r="C43" s="195"/>
      <c r="D43" s="195"/>
      <c r="E43" s="239"/>
      <c r="F43" s="239"/>
      <c r="G43" s="239"/>
      <c r="H43" s="239"/>
      <c r="I43" s="239"/>
      <c r="J43" s="239"/>
      <c r="K43" s="239"/>
      <c r="L43" s="239"/>
      <c r="M43" s="240"/>
      <c r="N43" s="239"/>
      <c r="O43" s="259"/>
      <c r="P43" s="280"/>
      <c r="Q43" s="280"/>
    </row>
    <row r="44" spans="1:17" ht="12.95" customHeight="1" x14ac:dyDescent="0.25">
      <c r="B44" s="724" t="s">
        <v>2776</v>
      </c>
      <c r="C44" s="207"/>
      <c r="D44" s="103" t="s">
        <v>48</v>
      </c>
      <c r="E44" s="242"/>
      <c r="F44" s="242"/>
      <c r="G44" s="242"/>
      <c r="H44" s="242"/>
      <c r="I44" s="242"/>
      <c r="J44" s="242"/>
      <c r="K44" s="242"/>
      <c r="L44" s="242"/>
      <c r="M44" s="242"/>
      <c r="N44" s="242"/>
      <c r="O44" s="177"/>
      <c r="P44" s="258"/>
      <c r="Q44" s="258"/>
    </row>
    <row r="45" spans="1:17" ht="9.75" customHeight="1" x14ac:dyDescent="0.25">
      <c r="B45" s="273"/>
      <c r="C45" s="136" t="s">
        <v>805</v>
      </c>
      <c r="D45" s="103"/>
      <c r="E45" s="243">
        <f t="shared" ref="E45:N45" si="4">IF(OR(E8="NA",E9="NA",E14="NA",E25="NA"),"NA",-SUM(E8)+SUM(E9)+SUM(E14)-SUM(E25))</f>
        <v>0</v>
      </c>
      <c r="F45" s="243">
        <f t="shared" si="4"/>
        <v>5.6843418860808015E-14</v>
      </c>
      <c r="G45" s="243">
        <f t="shared" si="4"/>
        <v>0</v>
      </c>
      <c r="H45" s="243">
        <f t="shared" si="4"/>
        <v>0</v>
      </c>
      <c r="I45" s="243">
        <f t="shared" si="4"/>
        <v>-1.1368683772161603E-13</v>
      </c>
      <c r="J45" s="243">
        <f t="shared" si="4"/>
        <v>-2.2737367544323206E-13</v>
      </c>
      <c r="K45" s="243">
        <f t="shared" si="4"/>
        <v>-1.1368683772161603E-13</v>
      </c>
      <c r="L45" s="243">
        <f t="shared" si="4"/>
        <v>0</v>
      </c>
      <c r="M45" s="243">
        <f t="shared" si="4"/>
        <v>0</v>
      </c>
      <c r="N45" s="243">
        <f t="shared" si="4"/>
        <v>9.0949470177292824E-13</v>
      </c>
      <c r="O45" s="177"/>
      <c r="P45" s="258"/>
      <c r="Q45" s="258"/>
    </row>
    <row r="46" spans="1:17" ht="9.75" hidden="1" customHeight="1" x14ac:dyDescent="0.25">
      <c r="B46" s="274"/>
      <c r="C46" s="136" t="s">
        <v>806</v>
      </c>
      <c r="D46" s="76"/>
      <c r="E46" s="243" t="str">
        <f t="shared" ref="E46:N46" si="5">IF(OR(E9="NA",E10="NA",E11="NA",E12="NA",E13="NA"),"NA",-SUM(E9)+SUM(E10)+SUM(E11)+SUM(E12)+SUM(E13))</f>
        <v>NA</v>
      </c>
      <c r="F46" s="243" t="str">
        <f t="shared" si="5"/>
        <v>NA</v>
      </c>
      <c r="G46" s="243" t="str">
        <f t="shared" si="5"/>
        <v>NA</v>
      </c>
      <c r="H46" s="243" t="str">
        <f t="shared" si="5"/>
        <v>NA</v>
      </c>
      <c r="I46" s="243" t="str">
        <f t="shared" si="5"/>
        <v>NA</v>
      </c>
      <c r="J46" s="243" t="str">
        <f t="shared" si="5"/>
        <v>NA</v>
      </c>
      <c r="K46" s="243" t="str">
        <f t="shared" si="5"/>
        <v>NA</v>
      </c>
      <c r="L46" s="243" t="str">
        <f t="shared" si="5"/>
        <v>NA</v>
      </c>
      <c r="M46" s="243" t="str">
        <f t="shared" si="5"/>
        <v>NA</v>
      </c>
      <c r="N46" s="243" t="str">
        <f t="shared" si="5"/>
        <v>NA</v>
      </c>
      <c r="O46" s="177"/>
      <c r="P46" s="258"/>
      <c r="Q46" s="258"/>
    </row>
    <row r="47" spans="1:17" ht="9.75" hidden="1" customHeight="1" x14ac:dyDescent="0.25">
      <c r="B47" s="274"/>
      <c r="C47" s="136" t="s">
        <v>807</v>
      </c>
      <c r="D47" s="76"/>
      <c r="E47" s="243" t="str">
        <f t="shared" ref="E47:N47" si="6">IF(OR(E14="NA",E23="NA",E24="NA"),"NA",-SUM(E14)+SUM(E23)+SUM(E24))</f>
        <v>NA</v>
      </c>
      <c r="F47" s="243" t="str">
        <f t="shared" si="6"/>
        <v>NA</v>
      </c>
      <c r="G47" s="243" t="str">
        <f t="shared" si="6"/>
        <v>NA</v>
      </c>
      <c r="H47" s="243" t="str">
        <f t="shared" si="6"/>
        <v>NA</v>
      </c>
      <c r="I47" s="243" t="str">
        <f t="shared" si="6"/>
        <v>NA</v>
      </c>
      <c r="J47" s="243" t="str">
        <f t="shared" si="6"/>
        <v>NA</v>
      </c>
      <c r="K47" s="243" t="str">
        <f t="shared" si="6"/>
        <v>NA</v>
      </c>
      <c r="L47" s="243" t="str">
        <f t="shared" si="6"/>
        <v>NA</v>
      </c>
      <c r="M47" s="243" t="str">
        <f t="shared" si="6"/>
        <v>NA</v>
      </c>
      <c r="N47" s="243" t="str">
        <f t="shared" si="6"/>
        <v>NA</v>
      </c>
      <c r="O47" s="177"/>
      <c r="P47" s="258"/>
      <c r="Q47" s="258"/>
    </row>
    <row r="48" spans="1:17" ht="9.75" hidden="1" customHeight="1" x14ac:dyDescent="0.25">
      <c r="B48" s="274"/>
      <c r="C48" s="136" t="s">
        <v>808</v>
      </c>
      <c r="D48" s="76"/>
      <c r="E48" s="243" t="str">
        <f t="shared" ref="E48:N48" si="7">IF(OR(E14="NA",E15="NA",E16="NA",E17="NA",E18="NA",E19="NA",E20="NA",E21="NA",E22="NA"),"NA",-SUM(E14)+SUM(E15)+SUM(E16)+SUM(E17)+SUM(E18)+SUM(E19)+SUM(E20)+SUM(E21)+SUM(E22))</f>
        <v>NA</v>
      </c>
      <c r="F48" s="243" t="str">
        <f t="shared" si="7"/>
        <v>NA</v>
      </c>
      <c r="G48" s="243" t="str">
        <f t="shared" si="7"/>
        <v>NA</v>
      </c>
      <c r="H48" s="243" t="str">
        <f t="shared" si="7"/>
        <v>NA</v>
      </c>
      <c r="I48" s="243" t="str">
        <f t="shared" si="7"/>
        <v>NA</v>
      </c>
      <c r="J48" s="243" t="str">
        <f t="shared" si="7"/>
        <v>NA</v>
      </c>
      <c r="K48" s="243" t="str">
        <f t="shared" si="7"/>
        <v>NA</v>
      </c>
      <c r="L48" s="243" t="str">
        <f t="shared" si="7"/>
        <v>NA</v>
      </c>
      <c r="M48" s="243" t="str">
        <f t="shared" si="7"/>
        <v>NA</v>
      </c>
      <c r="N48" s="243" t="str">
        <f t="shared" si="7"/>
        <v>NA</v>
      </c>
      <c r="O48" s="177"/>
      <c r="P48" s="258"/>
      <c r="Q48" s="258"/>
    </row>
    <row r="49" spans="2:17" ht="9.75" hidden="1" customHeight="1" x14ac:dyDescent="0.25">
      <c r="B49" s="210"/>
      <c r="C49" s="207" t="s">
        <v>809</v>
      </c>
      <c r="D49" s="76"/>
      <c r="E49" s="243" t="str">
        <f t="shared" ref="E49:N49" si="8">IF(OR(E25="NA",E34="NA",E35="NA"),"NA",-SUM(E25)+SUM(E34)+SUM(E35))</f>
        <v>NA</v>
      </c>
      <c r="F49" s="243" t="str">
        <f t="shared" si="8"/>
        <v>NA</v>
      </c>
      <c r="G49" s="243" t="str">
        <f t="shared" si="8"/>
        <v>NA</v>
      </c>
      <c r="H49" s="243" t="str">
        <f t="shared" si="8"/>
        <v>NA</v>
      </c>
      <c r="I49" s="243" t="str">
        <f t="shared" si="8"/>
        <v>NA</v>
      </c>
      <c r="J49" s="243" t="str">
        <f t="shared" si="8"/>
        <v>NA</v>
      </c>
      <c r="K49" s="243" t="str">
        <f t="shared" si="8"/>
        <v>NA</v>
      </c>
      <c r="L49" s="243" t="str">
        <f t="shared" si="8"/>
        <v>NA</v>
      </c>
      <c r="M49" s="243" t="str">
        <f t="shared" si="8"/>
        <v>NA</v>
      </c>
      <c r="N49" s="243" t="str">
        <f t="shared" si="8"/>
        <v>NA</v>
      </c>
      <c r="O49" s="177"/>
      <c r="P49" s="258"/>
      <c r="Q49" s="258"/>
    </row>
    <row r="50" spans="2:17" ht="9.75" hidden="1" customHeight="1" x14ac:dyDescent="0.25">
      <c r="B50" s="210"/>
      <c r="C50" s="136" t="s">
        <v>810</v>
      </c>
      <c r="D50" s="76"/>
      <c r="E50" s="243" t="str">
        <f t="shared" ref="E50:N50" si="9">IF(OR(E25="NA",E26="NA",E27="NA",E28="NA",E29="NA",E30="NA",E31="NA",E32="NA",E33="NA"),"NA",-SUM(E25)+SUM(E26)+SUM(E27)+SUM(E28)+SUM(E29)+SUM(E30)+SUM(E31)+SUM(E32)+SUM(E33))</f>
        <v>NA</v>
      </c>
      <c r="F50" s="243" t="str">
        <f t="shared" si="9"/>
        <v>NA</v>
      </c>
      <c r="G50" s="243" t="str">
        <f t="shared" si="9"/>
        <v>NA</v>
      </c>
      <c r="H50" s="243" t="str">
        <f t="shared" si="9"/>
        <v>NA</v>
      </c>
      <c r="I50" s="243" t="str">
        <f t="shared" si="9"/>
        <v>NA</v>
      </c>
      <c r="J50" s="243" t="str">
        <f t="shared" si="9"/>
        <v>NA</v>
      </c>
      <c r="K50" s="243" t="str">
        <f t="shared" si="9"/>
        <v>NA</v>
      </c>
      <c r="L50" s="243" t="str">
        <f t="shared" si="9"/>
        <v>NA</v>
      </c>
      <c r="M50" s="243" t="str">
        <f t="shared" si="9"/>
        <v>NA</v>
      </c>
      <c r="N50" s="243" t="str">
        <f t="shared" si="9"/>
        <v>NA</v>
      </c>
      <c r="O50" s="177"/>
      <c r="P50" s="258"/>
      <c r="Q50" s="258"/>
    </row>
    <row r="51" spans="2:17" ht="9.75" customHeight="1" x14ac:dyDescent="0.25">
      <c r="B51" s="210"/>
      <c r="C51" s="136" t="s">
        <v>811</v>
      </c>
      <c r="D51" s="76"/>
      <c r="E51" s="243">
        <f t="shared" ref="E51:N51" si="10">IF(OR(E37="NA",E14="NA",E25="NA"),"NA",-SUM(E37)+SUM(E14)-SUM(E25))</f>
        <v>0</v>
      </c>
      <c r="F51" s="243">
        <f t="shared" si="10"/>
        <v>0</v>
      </c>
      <c r="G51" s="243">
        <f t="shared" si="10"/>
        <v>0</v>
      </c>
      <c r="H51" s="243">
        <f t="shared" si="10"/>
        <v>9.0949470177292824E-13</v>
      </c>
      <c r="I51" s="243">
        <f t="shared" si="10"/>
        <v>-1.1368683772161603E-13</v>
      </c>
      <c r="J51" s="243">
        <f t="shared" si="10"/>
        <v>2.2737367544323206E-13</v>
      </c>
      <c r="K51" s="243">
        <f t="shared" si="10"/>
        <v>-1.1368683772161603E-13</v>
      </c>
      <c r="L51" s="243">
        <f t="shared" si="10"/>
        <v>0</v>
      </c>
      <c r="M51" s="243">
        <f t="shared" si="10"/>
        <v>0</v>
      </c>
      <c r="N51" s="243">
        <f t="shared" si="10"/>
        <v>0</v>
      </c>
      <c r="O51" s="177"/>
      <c r="P51" s="258"/>
      <c r="Q51" s="258"/>
    </row>
    <row r="52" spans="2:17" ht="9.75" hidden="1" customHeight="1" x14ac:dyDescent="0.25">
      <c r="B52" s="210"/>
      <c r="C52" s="136" t="s">
        <v>812</v>
      </c>
      <c r="D52" s="76"/>
      <c r="E52" s="243" t="str">
        <f t="shared" ref="E52:N52" si="11">IF(OR(E38="NA",E26="NA",E27="NA",E28="NA",E29="NA",E31="NA",E33="NA"),"NA",-SUM(E38)+SUM(E26)+SUM(E27)+SUM(E28)+SUM(E29)+SUM(E31)+SUM(E33))</f>
        <v>NA</v>
      </c>
      <c r="F52" s="243" t="str">
        <f t="shared" si="11"/>
        <v>NA</v>
      </c>
      <c r="G52" s="243" t="str">
        <f t="shared" si="11"/>
        <v>NA</v>
      </c>
      <c r="H52" s="243" t="str">
        <f t="shared" si="11"/>
        <v>NA</v>
      </c>
      <c r="I52" s="243" t="str">
        <f t="shared" si="11"/>
        <v>NA</v>
      </c>
      <c r="J52" s="243" t="str">
        <f t="shared" si="11"/>
        <v>NA</v>
      </c>
      <c r="K52" s="243" t="str">
        <f t="shared" si="11"/>
        <v>NA</v>
      </c>
      <c r="L52" s="243" t="str">
        <f t="shared" si="11"/>
        <v>NA</v>
      </c>
      <c r="M52" s="243" t="str">
        <f t="shared" si="11"/>
        <v>NA</v>
      </c>
      <c r="N52" s="243" t="str">
        <f t="shared" si="11"/>
        <v>NA</v>
      </c>
      <c r="O52" s="177"/>
      <c r="P52" s="258"/>
      <c r="Q52" s="258"/>
    </row>
    <row r="53" spans="2:17" ht="9.75" hidden="1" customHeight="1" x14ac:dyDescent="0.25">
      <c r="B53" s="210"/>
      <c r="C53" s="136" t="s">
        <v>813</v>
      </c>
      <c r="D53" s="76"/>
      <c r="E53" s="243" t="str">
        <f t="shared" ref="E53:N53" si="12">IF(OR(E39="NA",E26="NA",E27="NA",E28="NA",E29="NA",E33="NA"),"NA",-SUM(E39)+SUM(E26)+SUM(E27)+SUM(E28)+SUM(E29)+SUM(E33))</f>
        <v>NA</v>
      </c>
      <c r="F53" s="243" t="str">
        <f t="shared" si="12"/>
        <v>NA</v>
      </c>
      <c r="G53" s="243" t="str">
        <f t="shared" si="12"/>
        <v>NA</v>
      </c>
      <c r="H53" s="243" t="str">
        <f t="shared" si="12"/>
        <v>NA</v>
      </c>
      <c r="I53" s="243" t="str">
        <f t="shared" si="12"/>
        <v>NA</v>
      </c>
      <c r="J53" s="243" t="str">
        <f t="shared" si="12"/>
        <v>NA</v>
      </c>
      <c r="K53" s="243" t="str">
        <f t="shared" si="12"/>
        <v>NA</v>
      </c>
      <c r="L53" s="243" t="str">
        <f t="shared" si="12"/>
        <v>NA</v>
      </c>
      <c r="M53" s="243" t="str">
        <f t="shared" si="12"/>
        <v>NA</v>
      </c>
      <c r="N53" s="243" t="str">
        <f t="shared" si="12"/>
        <v>NA</v>
      </c>
      <c r="O53" s="177"/>
      <c r="P53" s="258"/>
      <c r="Q53" s="258"/>
    </row>
    <row r="54" spans="2:17" ht="9.75" hidden="1" customHeight="1" x14ac:dyDescent="0.25">
      <c r="B54" s="210"/>
      <c r="C54" s="136" t="s">
        <v>814</v>
      </c>
      <c r="D54" s="76"/>
      <c r="E54" s="243" t="str">
        <f t="shared" ref="E54:N54" si="13">IF(OR(E40="NA",E26="NA",E27="NA",E28="NA",E29="NA"),"NA",-SUM(E40)+SUM(E26)+SUM(E27)+SUM(E28)+SUM(E29))</f>
        <v>NA</v>
      </c>
      <c r="F54" s="243" t="str">
        <f t="shared" si="13"/>
        <v>NA</v>
      </c>
      <c r="G54" s="243" t="str">
        <f t="shared" si="13"/>
        <v>NA</v>
      </c>
      <c r="H54" s="243" t="str">
        <f t="shared" si="13"/>
        <v>NA</v>
      </c>
      <c r="I54" s="243" t="str">
        <f t="shared" si="13"/>
        <v>NA</v>
      </c>
      <c r="J54" s="243" t="str">
        <f t="shared" si="13"/>
        <v>NA</v>
      </c>
      <c r="K54" s="243" t="str">
        <f t="shared" si="13"/>
        <v>NA</v>
      </c>
      <c r="L54" s="243" t="str">
        <f t="shared" si="13"/>
        <v>NA</v>
      </c>
      <c r="M54" s="243" t="str">
        <f t="shared" si="13"/>
        <v>NA</v>
      </c>
      <c r="N54" s="243" t="str">
        <f t="shared" si="13"/>
        <v>NA</v>
      </c>
      <c r="O54" s="177"/>
      <c r="P54" s="258"/>
      <c r="Q54" s="258"/>
    </row>
    <row r="55" spans="2:17" ht="9.75" hidden="1" customHeight="1" x14ac:dyDescent="0.25">
      <c r="B55" s="211"/>
      <c r="C55" s="208" t="s">
        <v>815</v>
      </c>
      <c r="D55" s="140"/>
      <c r="E55" s="244" t="str">
        <f t="shared" ref="E55:N55" si="14">IF(OR(E41="NA",E28="NA",E29="NA"),"NA",-SUM(E41)+SUM(E28)+SUM(E29))</f>
        <v>NA</v>
      </c>
      <c r="F55" s="244" t="str">
        <f t="shared" si="14"/>
        <v>NA</v>
      </c>
      <c r="G55" s="244" t="str">
        <f t="shared" si="14"/>
        <v>NA</v>
      </c>
      <c r="H55" s="244" t="str">
        <f t="shared" si="14"/>
        <v>NA</v>
      </c>
      <c r="I55" s="244" t="str">
        <f t="shared" si="14"/>
        <v>NA</v>
      </c>
      <c r="J55" s="244" t="str">
        <f t="shared" si="14"/>
        <v>NA</v>
      </c>
      <c r="K55" s="244" t="str">
        <f t="shared" si="14"/>
        <v>NA</v>
      </c>
      <c r="L55" s="244" t="str">
        <f t="shared" si="14"/>
        <v>NA</v>
      </c>
      <c r="M55" s="244" t="str">
        <f t="shared" si="14"/>
        <v>NA</v>
      </c>
      <c r="N55" s="244" t="str">
        <f t="shared" si="14"/>
        <v>NA</v>
      </c>
      <c r="O55" s="177"/>
      <c r="P55" s="258"/>
      <c r="Q55" s="258"/>
    </row>
    <row r="56" spans="2:17" s="103" customFormat="1" ht="10.9" customHeight="1" x14ac:dyDescent="0.15">
      <c r="B56" s="697" t="s">
        <v>2777</v>
      </c>
      <c r="C56" s="714"/>
      <c r="E56" s="212"/>
      <c r="F56" s="212"/>
      <c r="G56" s="212"/>
      <c r="H56" s="212"/>
      <c r="I56" s="212"/>
      <c r="J56" s="212"/>
      <c r="K56" s="212"/>
      <c r="L56" s="212"/>
      <c r="M56" s="212"/>
      <c r="N56" s="212"/>
      <c r="O56" s="191"/>
      <c r="P56" s="191"/>
      <c r="Q56" s="191"/>
    </row>
    <row r="57" spans="2:17" s="103" customFormat="1" ht="10.9" customHeight="1" x14ac:dyDescent="0.15">
      <c r="B57" s="697"/>
      <c r="C57" s="698" t="s">
        <v>2778</v>
      </c>
      <c r="E57" s="212"/>
      <c r="F57" s="212"/>
      <c r="G57" s="212"/>
      <c r="H57" s="212"/>
      <c r="I57" s="212"/>
      <c r="J57" s="212"/>
      <c r="K57" s="212"/>
      <c r="L57" s="212"/>
      <c r="M57" s="212"/>
      <c r="N57" s="212"/>
      <c r="O57" s="191"/>
      <c r="P57" s="191"/>
      <c r="Q57" s="191"/>
    </row>
    <row r="58" spans="2:17" s="103" customFormat="1" ht="10.9" customHeight="1" x14ac:dyDescent="0.15">
      <c r="B58" s="190"/>
      <c r="C58" s="214" t="s">
        <v>3410</v>
      </c>
      <c r="E58" s="215"/>
      <c r="F58" s="215"/>
      <c r="G58" s="203" t="str">
        <f>IF(OR(G9="NA"),"NA",IF(ROUND(SUM(G9),1)=0,"si","verificar!"))</f>
        <v>si</v>
      </c>
      <c r="H58" s="215"/>
      <c r="I58" s="215"/>
      <c r="J58" s="215"/>
      <c r="K58" s="215"/>
      <c r="L58" s="203" t="str">
        <f>IF(OR(L9="NA"),"NA",IF(ROUND(SUM(L9),1)=0,"si","verificar!"))</f>
        <v>si</v>
      </c>
      <c r="M58" s="215"/>
      <c r="N58" s="215"/>
      <c r="O58" s="191"/>
      <c r="P58" s="191"/>
      <c r="Q58" s="191"/>
    </row>
    <row r="59" spans="2:17" s="103" customFormat="1" ht="10.9" customHeight="1" x14ac:dyDescent="0.15">
      <c r="B59" s="190"/>
      <c r="C59" s="214" t="s">
        <v>3409</v>
      </c>
      <c r="E59" s="215"/>
      <c r="F59" s="215"/>
      <c r="G59" s="203" t="str">
        <f>IF(OR(G14="NA",G25="NA"),"NA",IF(ROUND(SUM(G14)-SUM(G25),1)=0,"si","verificar!"))</f>
        <v>si</v>
      </c>
      <c r="H59" s="215"/>
      <c r="I59" s="215"/>
      <c r="J59" s="215"/>
      <c r="K59" s="215"/>
      <c r="L59" s="203" t="str">
        <f>IF(OR(L14="NA",L25="NA"),"NA",IF(ROUND(SUM(L14)-SUM(L25),1)=0,"si","verificar!"))</f>
        <v>si</v>
      </c>
      <c r="M59" s="215"/>
      <c r="N59" s="215"/>
      <c r="O59" s="191"/>
      <c r="P59" s="191"/>
      <c r="Q59" s="191"/>
    </row>
    <row r="60" spans="2:17" s="103" customFormat="1" ht="10.9" hidden="1" customHeight="1" x14ac:dyDescent="0.15">
      <c r="B60" s="200"/>
      <c r="C60" s="213" t="s">
        <v>2631</v>
      </c>
      <c r="E60" s="212"/>
      <c r="F60" s="212"/>
      <c r="G60" s="216"/>
      <c r="H60" s="212"/>
      <c r="I60" s="212"/>
      <c r="J60" s="212"/>
      <c r="K60" s="212"/>
      <c r="L60" s="216"/>
      <c r="M60" s="212"/>
      <c r="N60" s="212"/>
      <c r="O60" s="191"/>
      <c r="P60" s="191"/>
      <c r="Q60" s="191"/>
    </row>
    <row r="61" spans="2:17" s="103" customFormat="1" ht="10.9" hidden="1" customHeight="1" x14ac:dyDescent="0.15">
      <c r="B61" s="190"/>
      <c r="C61" s="214" t="s">
        <v>3407</v>
      </c>
      <c r="E61" s="215"/>
      <c r="F61" s="215"/>
      <c r="G61" s="203" t="str">
        <f t="array" ref="G61">IF(OR(G9:G13="NA"),"NA",IF(AND(ROUND(G9:G13,1)=0),"yes","check!"))</f>
        <v>NA</v>
      </c>
      <c r="H61" s="215"/>
      <c r="I61" s="215"/>
      <c r="J61" s="215"/>
      <c r="K61" s="215"/>
      <c r="L61" s="203" t="str">
        <f t="array" ref="L61">IF(OR(L9:L13="NA"),"NA",IF(AND(ROUND(L9:L13,1)=0),"yes","check!"))</f>
        <v>NA</v>
      </c>
      <c r="M61" s="215"/>
      <c r="N61" s="215"/>
      <c r="O61" s="191"/>
      <c r="P61" s="191"/>
      <c r="Q61" s="191"/>
    </row>
    <row r="62" spans="2:17" s="103" customFormat="1" ht="10.9" hidden="1" customHeight="1" x14ac:dyDescent="0.15">
      <c r="B62" s="190"/>
      <c r="C62" s="214" t="s">
        <v>3408</v>
      </c>
      <c r="E62" s="215"/>
      <c r="F62" s="215"/>
      <c r="G62" s="203" t="str">
        <f>IF(OR(G24="NA"),"NA",IF(ROUND(G24,1)=0,"yes","check!"))</f>
        <v>NA</v>
      </c>
      <c r="H62" s="215"/>
      <c r="I62" s="215"/>
      <c r="J62" s="215"/>
      <c r="K62" s="215"/>
      <c r="L62" s="203" t="str">
        <f>IF(OR(L24="NA"),"NA",IF(ROUND(L24,1)=0,"yes","check!"))</f>
        <v>NA</v>
      </c>
      <c r="M62" s="215"/>
      <c r="N62" s="215"/>
      <c r="O62" s="191"/>
      <c r="P62" s="191"/>
      <c r="Q62" s="191"/>
    </row>
    <row r="63" spans="2:17" s="103" customFormat="1" ht="10.9" hidden="1" customHeight="1" x14ac:dyDescent="0.15">
      <c r="B63" s="190"/>
      <c r="C63" s="214" t="s">
        <v>3411</v>
      </c>
      <c r="E63" s="215"/>
      <c r="F63" s="215"/>
      <c r="G63" s="203" t="str">
        <f>IF(OR(G35="NA"),"NA",IF(ROUND(G35,1)=0,"yes","check!"))</f>
        <v>NA</v>
      </c>
      <c r="H63" s="215"/>
      <c r="I63" s="215"/>
      <c r="J63" s="215"/>
      <c r="K63" s="215"/>
      <c r="L63" s="203" t="str">
        <f>IF(OR(L35="NA"),"NA",IF(ROUND(L35,1)=0,"yes","check!"))</f>
        <v>NA</v>
      </c>
      <c r="M63" s="215"/>
      <c r="N63" s="215"/>
      <c r="O63" s="191"/>
      <c r="P63" s="191"/>
      <c r="Q63" s="191"/>
    </row>
    <row r="64" spans="2:17" s="103" customFormat="1" ht="10.9" hidden="1" customHeight="1" x14ac:dyDescent="0.15">
      <c r="B64" s="200"/>
      <c r="C64" s="213" t="s">
        <v>2661</v>
      </c>
      <c r="E64" s="212"/>
      <c r="F64" s="212"/>
      <c r="G64" s="216"/>
      <c r="H64" s="212"/>
      <c r="I64" s="212"/>
      <c r="J64" s="212"/>
      <c r="K64" s="212"/>
      <c r="L64" s="216"/>
      <c r="M64" s="212"/>
      <c r="N64" s="212"/>
      <c r="O64" s="191"/>
      <c r="P64" s="191"/>
      <c r="Q64" s="191"/>
    </row>
    <row r="65" spans="2:17" s="103" customFormat="1" ht="10.9" hidden="1" customHeight="1" x14ac:dyDescent="0.15">
      <c r="B65" s="190"/>
      <c r="C65" s="214" t="s">
        <v>3412</v>
      </c>
      <c r="E65" s="215"/>
      <c r="F65" s="215"/>
      <c r="G65" s="203" t="str">
        <f t="shared" ref="G65:G72" si="15">IF(OR(G15="NA",G26="NA"),"NA",IF(ROUND(G15,1)=ROUND(G26,1),"yes","check!"))</f>
        <v>NA</v>
      </c>
      <c r="H65" s="215"/>
      <c r="I65" s="215"/>
      <c r="J65" s="215"/>
      <c r="K65" s="215"/>
      <c r="L65" s="203" t="str">
        <f t="shared" ref="L65:L72" si="16">IF(OR(L15="NA",L26="NA"),"NA",IF(ROUND(L15,1)=ROUND(L26,1),"yes","check!"))</f>
        <v>NA</v>
      </c>
      <c r="M65" s="215"/>
      <c r="N65" s="215"/>
      <c r="O65" s="191"/>
      <c r="P65" s="191"/>
      <c r="Q65" s="191"/>
    </row>
    <row r="66" spans="2:17" s="103" customFormat="1" ht="10.9" hidden="1" customHeight="1" x14ac:dyDescent="0.15">
      <c r="B66" s="190"/>
      <c r="C66" s="214" t="s">
        <v>3413</v>
      </c>
      <c r="E66" s="215"/>
      <c r="F66" s="215"/>
      <c r="G66" s="203" t="str">
        <f t="shared" si="15"/>
        <v>NA</v>
      </c>
      <c r="H66" s="215"/>
      <c r="I66" s="215"/>
      <c r="J66" s="215"/>
      <c r="K66" s="215"/>
      <c r="L66" s="203" t="str">
        <f t="shared" si="16"/>
        <v>NA</v>
      </c>
      <c r="M66" s="215"/>
      <c r="N66" s="215"/>
      <c r="O66" s="191"/>
      <c r="P66" s="191"/>
      <c r="Q66" s="191"/>
    </row>
    <row r="67" spans="2:17" s="103" customFormat="1" ht="10.9" hidden="1" customHeight="1" x14ac:dyDescent="0.15">
      <c r="B67" s="190"/>
      <c r="C67" s="214" t="s">
        <v>3414</v>
      </c>
      <c r="E67" s="215"/>
      <c r="F67" s="215"/>
      <c r="G67" s="203" t="str">
        <f t="shared" si="15"/>
        <v>NA</v>
      </c>
      <c r="H67" s="215"/>
      <c r="I67" s="215"/>
      <c r="J67" s="215"/>
      <c r="K67" s="215"/>
      <c r="L67" s="203" t="str">
        <f t="shared" si="16"/>
        <v>NA</v>
      </c>
      <c r="M67" s="215"/>
      <c r="N67" s="215"/>
      <c r="O67" s="191"/>
      <c r="P67" s="191"/>
      <c r="Q67" s="191"/>
    </row>
    <row r="68" spans="2:17" s="103" customFormat="1" ht="10.9" hidden="1" customHeight="1" x14ac:dyDescent="0.15">
      <c r="B68" s="190"/>
      <c r="C68" s="214" t="s">
        <v>3415</v>
      </c>
      <c r="E68" s="215"/>
      <c r="F68" s="215"/>
      <c r="G68" s="203" t="str">
        <f t="shared" si="15"/>
        <v>NA</v>
      </c>
      <c r="H68" s="215"/>
      <c r="I68" s="215"/>
      <c r="J68" s="215"/>
      <c r="K68" s="215"/>
      <c r="L68" s="203" t="str">
        <f t="shared" si="16"/>
        <v>NA</v>
      </c>
      <c r="M68" s="215"/>
      <c r="N68" s="215"/>
      <c r="O68" s="191"/>
      <c r="P68" s="191"/>
      <c r="Q68" s="191"/>
    </row>
    <row r="69" spans="2:17" s="103" customFormat="1" ht="10.9" hidden="1" customHeight="1" x14ac:dyDescent="0.15">
      <c r="B69" s="190"/>
      <c r="C69" s="214" t="s">
        <v>3416</v>
      </c>
      <c r="E69" s="215"/>
      <c r="F69" s="215"/>
      <c r="G69" s="203" t="str">
        <f t="shared" si="15"/>
        <v>NA</v>
      </c>
      <c r="H69" s="215"/>
      <c r="I69" s="215"/>
      <c r="J69" s="215"/>
      <c r="K69" s="215"/>
      <c r="L69" s="203" t="str">
        <f t="shared" si="16"/>
        <v>NA</v>
      </c>
      <c r="M69" s="215"/>
      <c r="N69" s="215"/>
      <c r="O69" s="191"/>
      <c r="P69" s="191"/>
      <c r="Q69" s="191"/>
    </row>
    <row r="70" spans="2:17" s="103" customFormat="1" ht="10.9" hidden="1" customHeight="1" x14ac:dyDescent="0.15">
      <c r="B70" s="190"/>
      <c r="C70" s="214" t="s">
        <v>3417</v>
      </c>
      <c r="E70" s="215"/>
      <c r="F70" s="215"/>
      <c r="G70" s="203" t="str">
        <f t="shared" si="15"/>
        <v>NA</v>
      </c>
      <c r="H70" s="215"/>
      <c r="I70" s="215"/>
      <c r="J70" s="215"/>
      <c r="K70" s="215"/>
      <c r="L70" s="203" t="str">
        <f t="shared" si="16"/>
        <v>NA</v>
      </c>
      <c r="M70" s="215"/>
      <c r="N70" s="215"/>
      <c r="O70" s="191"/>
      <c r="P70" s="191"/>
      <c r="Q70" s="191"/>
    </row>
    <row r="71" spans="2:17" s="103" customFormat="1" ht="10.9" hidden="1" customHeight="1" x14ac:dyDescent="0.15">
      <c r="B71" s="190"/>
      <c r="C71" s="214" t="s">
        <v>3418</v>
      </c>
      <c r="E71" s="215"/>
      <c r="F71" s="215"/>
      <c r="G71" s="203" t="str">
        <f t="shared" si="15"/>
        <v>NA</v>
      </c>
      <c r="H71" s="215"/>
      <c r="I71" s="215"/>
      <c r="J71" s="215"/>
      <c r="K71" s="215"/>
      <c r="L71" s="203" t="str">
        <f t="shared" si="16"/>
        <v>NA</v>
      </c>
      <c r="M71" s="215"/>
      <c r="N71" s="215"/>
      <c r="O71" s="191"/>
      <c r="P71" s="191"/>
      <c r="Q71" s="191"/>
    </row>
    <row r="72" spans="2:17" s="103" customFormat="1" ht="10.9" hidden="1" customHeight="1" x14ac:dyDescent="0.15">
      <c r="B72" s="190"/>
      <c r="C72" s="214" t="s">
        <v>3419</v>
      </c>
      <c r="E72" s="215"/>
      <c r="F72" s="215"/>
      <c r="G72" s="203" t="str">
        <f t="shared" si="15"/>
        <v>NA</v>
      </c>
      <c r="H72" s="215"/>
      <c r="I72" s="215"/>
      <c r="J72" s="215"/>
      <c r="K72" s="215"/>
      <c r="L72" s="203" t="str">
        <f t="shared" si="16"/>
        <v>NA</v>
      </c>
      <c r="M72" s="215"/>
      <c r="N72" s="215"/>
      <c r="O72" s="191"/>
      <c r="P72" s="191"/>
      <c r="Q72" s="191"/>
    </row>
    <row r="73" spans="2:17" ht="10.35" customHeight="1" x14ac:dyDescent="0.25">
      <c r="B73" s="276"/>
      <c r="C73" s="94"/>
      <c r="D73" s="77"/>
      <c r="E73" s="277"/>
      <c r="F73" s="277"/>
      <c r="G73" s="277"/>
      <c r="H73" s="277"/>
      <c r="I73" s="277"/>
      <c r="J73" s="277"/>
      <c r="K73" s="277"/>
      <c r="L73" s="277"/>
      <c r="M73" s="277"/>
      <c r="N73" s="277"/>
      <c r="O73" s="177"/>
      <c r="P73" s="258"/>
      <c r="Q73" s="258"/>
    </row>
    <row r="74" spans="2:17" ht="14.25" x14ac:dyDescent="0.25">
      <c r="B74" s="210"/>
      <c r="C74" s="207"/>
      <c r="D74" s="103"/>
      <c r="E74" s="165"/>
      <c r="F74" s="165"/>
      <c r="G74" s="165"/>
      <c r="H74" s="165"/>
      <c r="I74" s="165"/>
      <c r="J74" s="165"/>
      <c r="K74" s="165"/>
      <c r="L74" s="165"/>
      <c r="M74" s="165"/>
      <c r="N74" s="165"/>
      <c r="O74" s="165"/>
    </row>
    <row r="75" spans="2:17" ht="14.25" x14ac:dyDescent="0.25">
      <c r="B75" s="210"/>
      <c r="C75" s="207"/>
      <c r="D75" s="103"/>
      <c r="E75" s="165"/>
      <c r="F75" s="165"/>
      <c r="G75" s="165"/>
      <c r="H75" s="165"/>
      <c r="I75" s="165"/>
      <c r="J75" s="165"/>
      <c r="K75" s="165"/>
      <c r="L75" s="165"/>
      <c r="M75" s="165"/>
      <c r="N75" s="165"/>
      <c r="O75" s="165"/>
    </row>
    <row r="76" spans="2:17" ht="14.25" x14ac:dyDescent="0.25">
      <c r="B76" s="210"/>
      <c r="C76" s="207"/>
      <c r="D76" s="103"/>
      <c r="E76" s="165"/>
      <c r="F76" s="165"/>
      <c r="G76" s="165"/>
      <c r="H76" s="165"/>
      <c r="I76" s="165"/>
      <c r="J76" s="165"/>
      <c r="K76" s="165"/>
      <c r="L76" s="165"/>
      <c r="M76" s="165"/>
      <c r="N76" s="165"/>
      <c r="O76" s="165"/>
    </row>
    <row r="77" spans="2:17" x14ac:dyDescent="0.2">
      <c r="B77" s="281"/>
      <c r="C77" s="282"/>
      <c r="D77" s="257"/>
    </row>
    <row r="78" spans="2:17" x14ac:dyDescent="0.2">
      <c r="B78" s="281"/>
      <c r="C78" s="282"/>
      <c r="D78" s="257"/>
    </row>
    <row r="79" spans="2:17" x14ac:dyDescent="0.2">
      <c r="B79" s="281"/>
      <c r="C79" s="282"/>
      <c r="D79" s="257"/>
    </row>
    <row r="80" spans="2:17" x14ac:dyDescent="0.2">
      <c r="B80" s="281"/>
      <c r="C80" s="282"/>
      <c r="D80" s="257"/>
    </row>
    <row r="81" spans="2:4" x14ac:dyDescent="0.2">
      <c r="B81" s="281"/>
      <c r="C81" s="282"/>
      <c r="D81" s="257"/>
    </row>
    <row r="82" spans="2:4" x14ac:dyDescent="0.2">
      <c r="B82" s="281"/>
      <c r="C82" s="282"/>
      <c r="D82" s="257"/>
    </row>
    <row r="83" spans="2:4" x14ac:dyDescent="0.2">
      <c r="B83" s="256"/>
      <c r="C83" s="257"/>
      <c r="D83" s="257"/>
    </row>
    <row r="84" spans="2:4" x14ac:dyDescent="0.2">
      <c r="B84" s="256"/>
      <c r="C84" s="257"/>
      <c r="D84" s="257"/>
    </row>
    <row r="85" spans="2:4" x14ac:dyDescent="0.2">
      <c r="B85" s="256"/>
      <c r="C85" s="257"/>
      <c r="D85" s="257"/>
    </row>
    <row r="86" spans="2:4" x14ac:dyDescent="0.2">
      <c r="B86" s="256"/>
      <c r="C86" s="257"/>
      <c r="D86" s="257"/>
    </row>
    <row r="87" spans="2:4" x14ac:dyDescent="0.2">
      <c r="B87" s="256"/>
      <c r="C87" s="257"/>
      <c r="D87" s="257"/>
    </row>
    <row r="88" spans="2:4" x14ac:dyDescent="0.2">
      <c r="B88" s="256"/>
      <c r="C88" s="257"/>
      <c r="D88" s="257"/>
    </row>
    <row r="89" spans="2:4" x14ac:dyDescent="0.2">
      <c r="B89" s="256"/>
      <c r="C89" s="257"/>
      <c r="D89" s="257"/>
    </row>
    <row r="90" spans="2:4" x14ac:dyDescent="0.2">
      <c r="B90" s="256"/>
      <c r="C90" s="257"/>
      <c r="D90" s="257"/>
    </row>
    <row r="91" spans="2:4" x14ac:dyDescent="0.2">
      <c r="B91" s="256"/>
      <c r="C91" s="257"/>
      <c r="D91" s="257"/>
    </row>
    <row r="92" spans="2:4" x14ac:dyDescent="0.2">
      <c r="B92" s="256"/>
      <c r="C92" s="257"/>
      <c r="D92" s="257"/>
    </row>
    <row r="93" spans="2:4" x14ac:dyDescent="0.2">
      <c r="B93" s="256"/>
      <c r="C93" s="257"/>
      <c r="D93" s="257"/>
    </row>
    <row r="94" spans="2:4" x14ac:dyDescent="0.2">
      <c r="B94" s="256"/>
      <c r="C94" s="257"/>
      <c r="D94" s="257"/>
    </row>
    <row r="95" spans="2:4" x14ac:dyDescent="0.2">
      <c r="B95" s="256"/>
      <c r="C95" s="257"/>
      <c r="D95" s="257"/>
    </row>
    <row r="96" spans="2:4" x14ac:dyDescent="0.2">
      <c r="B96" s="256"/>
      <c r="C96" s="257"/>
      <c r="D96" s="257"/>
    </row>
    <row r="97" spans="2:4" x14ac:dyDescent="0.2">
      <c r="B97" s="256"/>
      <c r="C97" s="257"/>
      <c r="D97" s="257"/>
    </row>
    <row r="98" spans="2:4" x14ac:dyDescent="0.2">
      <c r="B98" s="256"/>
      <c r="C98" s="257"/>
      <c r="D98" s="257"/>
    </row>
    <row r="99" spans="2:4" x14ac:dyDescent="0.2">
      <c r="B99" s="256"/>
      <c r="C99" s="257"/>
      <c r="D99" s="257"/>
    </row>
    <row r="100" spans="2:4" x14ac:dyDescent="0.2">
      <c r="B100" s="256"/>
      <c r="C100" s="257"/>
      <c r="D100" s="257"/>
    </row>
    <row r="101" spans="2:4" x14ac:dyDescent="0.2">
      <c r="B101" s="256"/>
      <c r="C101" s="257"/>
      <c r="D101" s="257"/>
    </row>
    <row r="102" spans="2:4" x14ac:dyDescent="0.2">
      <c r="B102" s="256"/>
      <c r="C102" s="257"/>
      <c r="D102" s="257"/>
    </row>
    <row r="103" spans="2:4" x14ac:dyDescent="0.2">
      <c r="B103" s="256"/>
      <c r="C103" s="257"/>
      <c r="D103" s="257"/>
    </row>
    <row r="104" spans="2:4" x14ac:dyDescent="0.2">
      <c r="B104" s="256"/>
      <c r="C104" s="257"/>
      <c r="D104" s="257"/>
    </row>
    <row r="105" spans="2:4" x14ac:dyDescent="0.2">
      <c r="B105" s="256"/>
      <c r="C105" s="257"/>
      <c r="D105" s="257"/>
    </row>
    <row r="106" spans="2:4" x14ac:dyDescent="0.2">
      <c r="B106" s="256"/>
      <c r="C106" s="257"/>
      <c r="D106" s="257"/>
    </row>
    <row r="107" spans="2:4" x14ac:dyDescent="0.2">
      <c r="B107" s="256"/>
      <c r="C107" s="257"/>
      <c r="D107" s="257"/>
    </row>
    <row r="108" spans="2:4" x14ac:dyDescent="0.2">
      <c r="B108" s="256"/>
      <c r="C108" s="257"/>
      <c r="D108" s="257"/>
    </row>
    <row r="109" spans="2:4" x14ac:dyDescent="0.2">
      <c r="B109" s="256"/>
      <c r="C109" s="257"/>
      <c r="D109" s="257"/>
    </row>
    <row r="110" spans="2:4" x14ac:dyDescent="0.2">
      <c r="B110" s="256"/>
      <c r="C110" s="257"/>
      <c r="D110" s="257"/>
    </row>
    <row r="111" spans="2:4" x14ac:dyDescent="0.2">
      <c r="B111" s="256"/>
      <c r="C111" s="257"/>
      <c r="D111" s="257"/>
    </row>
    <row r="112" spans="2:4" x14ac:dyDescent="0.2">
      <c r="B112" s="256"/>
      <c r="C112" s="257"/>
      <c r="D112" s="257"/>
    </row>
    <row r="113" spans="2:4" x14ac:dyDescent="0.2">
      <c r="B113" s="256"/>
      <c r="C113" s="257"/>
      <c r="D113" s="257"/>
    </row>
    <row r="114" spans="2:4" x14ac:dyDescent="0.2">
      <c r="B114" s="256"/>
      <c r="C114" s="257"/>
      <c r="D114" s="257"/>
    </row>
    <row r="115" spans="2:4" x14ac:dyDescent="0.2">
      <c r="B115" s="256"/>
      <c r="C115" s="257"/>
      <c r="D115" s="257"/>
    </row>
    <row r="116" spans="2:4" x14ac:dyDescent="0.2">
      <c r="B116" s="256"/>
      <c r="C116" s="257"/>
      <c r="D116" s="257"/>
    </row>
    <row r="117" spans="2:4" x14ac:dyDescent="0.2">
      <c r="B117" s="256"/>
      <c r="C117" s="257"/>
      <c r="D117" s="257"/>
    </row>
    <row r="118" spans="2:4" x14ac:dyDescent="0.2">
      <c r="B118" s="256"/>
      <c r="C118" s="257"/>
      <c r="D118" s="257"/>
    </row>
    <row r="119" spans="2:4" x14ac:dyDescent="0.2">
      <c r="B119" s="256"/>
      <c r="C119" s="257"/>
      <c r="D119" s="257"/>
    </row>
    <row r="120" spans="2:4" x14ac:dyDescent="0.2">
      <c r="B120" s="256"/>
      <c r="C120" s="257"/>
      <c r="D120" s="257"/>
    </row>
    <row r="121" spans="2:4" x14ac:dyDescent="0.2">
      <c r="B121" s="256"/>
      <c r="C121" s="257"/>
      <c r="D121" s="257"/>
    </row>
    <row r="122" spans="2:4" x14ac:dyDescent="0.2">
      <c r="B122" s="256"/>
      <c r="C122" s="257"/>
      <c r="D122" s="257"/>
    </row>
    <row r="123" spans="2:4" x14ac:dyDescent="0.2">
      <c r="B123" s="256"/>
      <c r="C123" s="257"/>
      <c r="D123" s="257"/>
    </row>
    <row r="124" spans="2:4" x14ac:dyDescent="0.2">
      <c r="B124" s="256"/>
      <c r="C124" s="257"/>
      <c r="D124" s="257"/>
    </row>
    <row r="125" spans="2:4" x14ac:dyDescent="0.2">
      <c r="B125" s="256"/>
      <c r="C125" s="257"/>
      <c r="D125" s="257"/>
    </row>
    <row r="126" spans="2:4" x14ac:dyDescent="0.2">
      <c r="B126" s="256"/>
      <c r="C126" s="257"/>
      <c r="D126" s="257"/>
    </row>
    <row r="127" spans="2:4" x14ac:dyDescent="0.2">
      <c r="B127" s="256"/>
      <c r="C127" s="257"/>
      <c r="D127" s="257"/>
    </row>
    <row r="128" spans="2:4" x14ac:dyDescent="0.2">
      <c r="B128" s="256"/>
      <c r="C128" s="257"/>
      <c r="D128" s="257"/>
    </row>
    <row r="129" spans="2:4" x14ac:dyDescent="0.2">
      <c r="B129" s="256"/>
      <c r="C129" s="257"/>
      <c r="D129" s="257"/>
    </row>
    <row r="130" spans="2:4" x14ac:dyDescent="0.2">
      <c r="B130" s="256"/>
      <c r="C130" s="257"/>
      <c r="D130" s="257"/>
    </row>
    <row r="131" spans="2:4" x14ac:dyDescent="0.2">
      <c r="B131" s="256"/>
      <c r="C131" s="257"/>
      <c r="D131" s="257"/>
    </row>
    <row r="132" spans="2:4" x14ac:dyDescent="0.2">
      <c r="B132" s="256"/>
      <c r="C132" s="257"/>
      <c r="D132" s="257"/>
    </row>
    <row r="133" spans="2:4" x14ac:dyDescent="0.2">
      <c r="B133" s="256"/>
      <c r="C133" s="257"/>
      <c r="D133" s="257"/>
    </row>
    <row r="134" spans="2:4" x14ac:dyDescent="0.2">
      <c r="B134" s="256"/>
      <c r="C134" s="257"/>
      <c r="D134" s="257"/>
    </row>
    <row r="135" spans="2:4" x14ac:dyDescent="0.2">
      <c r="B135" s="256"/>
      <c r="C135" s="257"/>
      <c r="D135" s="257"/>
    </row>
    <row r="136" spans="2:4" x14ac:dyDescent="0.2">
      <c r="B136" s="256"/>
      <c r="C136" s="257"/>
      <c r="D136" s="257"/>
    </row>
    <row r="137" spans="2:4" x14ac:dyDescent="0.2">
      <c r="B137" s="256"/>
      <c r="C137" s="257"/>
      <c r="D137" s="257"/>
    </row>
    <row r="138" spans="2:4" x14ac:dyDescent="0.2">
      <c r="B138" s="256"/>
      <c r="C138" s="257"/>
      <c r="D138" s="257"/>
    </row>
    <row r="139" spans="2:4" x14ac:dyDescent="0.2">
      <c r="B139" s="256"/>
      <c r="C139" s="257"/>
      <c r="D139" s="257"/>
    </row>
    <row r="140" spans="2:4" x14ac:dyDescent="0.2">
      <c r="B140" s="256"/>
      <c r="C140" s="257"/>
      <c r="D140" s="257"/>
    </row>
    <row r="141" spans="2:4" x14ac:dyDescent="0.2">
      <c r="B141" s="256"/>
      <c r="C141" s="257"/>
      <c r="D141" s="257"/>
    </row>
    <row r="142" spans="2:4" x14ac:dyDescent="0.2">
      <c r="B142" s="256"/>
      <c r="C142" s="257"/>
      <c r="D142" s="257"/>
    </row>
    <row r="143" spans="2:4" x14ac:dyDescent="0.2">
      <c r="B143" s="256"/>
      <c r="C143" s="257"/>
      <c r="D143" s="257"/>
    </row>
    <row r="144" spans="2:4" x14ac:dyDescent="0.2">
      <c r="B144" s="256"/>
      <c r="C144" s="257"/>
      <c r="D144" s="257"/>
    </row>
    <row r="145" spans="2:4" x14ac:dyDescent="0.2">
      <c r="B145" s="256"/>
      <c r="C145" s="257"/>
      <c r="D145" s="257"/>
    </row>
    <row r="146" spans="2:4" x14ac:dyDescent="0.2">
      <c r="B146" s="256"/>
      <c r="C146" s="257"/>
      <c r="D146" s="257"/>
    </row>
    <row r="147" spans="2:4" x14ac:dyDescent="0.2">
      <c r="B147" s="256"/>
      <c r="C147" s="257"/>
      <c r="D147" s="257"/>
    </row>
    <row r="148" spans="2:4" x14ac:dyDescent="0.2">
      <c r="B148" s="256"/>
      <c r="C148" s="257"/>
      <c r="D148" s="257"/>
    </row>
    <row r="149" spans="2:4" x14ac:dyDescent="0.2">
      <c r="B149" s="256"/>
      <c r="C149" s="257"/>
      <c r="D149" s="257"/>
    </row>
    <row r="150" spans="2:4" x14ac:dyDescent="0.2">
      <c r="B150" s="256"/>
      <c r="C150" s="257"/>
      <c r="D150" s="257"/>
    </row>
    <row r="151" spans="2:4" x14ac:dyDescent="0.2">
      <c r="B151" s="256"/>
      <c r="C151" s="257"/>
      <c r="D151" s="257"/>
    </row>
    <row r="152" spans="2:4" x14ac:dyDescent="0.2">
      <c r="B152" s="256"/>
      <c r="C152" s="257"/>
      <c r="D152" s="257"/>
    </row>
    <row r="153" spans="2:4" x14ac:dyDescent="0.2">
      <c r="B153" s="256"/>
      <c r="C153" s="257"/>
      <c r="D153" s="257"/>
    </row>
    <row r="154" spans="2:4" x14ac:dyDescent="0.2">
      <c r="B154" s="256"/>
      <c r="C154" s="257"/>
      <c r="D154" s="257"/>
    </row>
    <row r="155" spans="2:4" x14ac:dyDescent="0.2">
      <c r="B155" s="256"/>
      <c r="C155" s="257"/>
      <c r="D155" s="257"/>
    </row>
    <row r="156" spans="2:4" x14ac:dyDescent="0.2">
      <c r="B156" s="256"/>
      <c r="C156" s="257"/>
      <c r="D156" s="257"/>
    </row>
    <row r="157" spans="2:4" x14ac:dyDescent="0.2">
      <c r="B157" s="256"/>
      <c r="C157" s="257"/>
      <c r="D157" s="257"/>
    </row>
    <row r="158" spans="2:4" x14ac:dyDescent="0.2">
      <c r="B158" s="256"/>
      <c r="C158" s="257"/>
      <c r="D158" s="257"/>
    </row>
    <row r="159" spans="2:4" x14ac:dyDescent="0.2">
      <c r="B159" s="256"/>
      <c r="C159" s="257"/>
      <c r="D159" s="257"/>
    </row>
    <row r="160" spans="2:4" x14ac:dyDescent="0.2">
      <c r="B160" s="256"/>
      <c r="C160" s="257"/>
      <c r="D160" s="257"/>
    </row>
    <row r="161" spans="2:4" x14ac:dyDescent="0.2">
      <c r="B161" s="256"/>
      <c r="C161" s="257"/>
      <c r="D161" s="257"/>
    </row>
    <row r="162" spans="2:4" x14ac:dyDescent="0.2">
      <c r="B162" s="256"/>
      <c r="C162" s="257"/>
      <c r="D162" s="257"/>
    </row>
    <row r="163" spans="2:4" x14ac:dyDescent="0.2">
      <c r="B163" s="256"/>
      <c r="C163" s="257"/>
      <c r="D163" s="257"/>
    </row>
    <row r="164" spans="2:4" x14ac:dyDescent="0.2">
      <c r="B164" s="256"/>
      <c r="C164" s="257"/>
      <c r="D164" s="257"/>
    </row>
    <row r="165" spans="2:4" x14ac:dyDescent="0.2">
      <c r="B165" s="256"/>
      <c r="C165" s="257"/>
      <c r="D165" s="257"/>
    </row>
    <row r="166" spans="2:4" x14ac:dyDescent="0.2">
      <c r="B166" s="256"/>
      <c r="C166" s="257"/>
      <c r="D166" s="257"/>
    </row>
    <row r="167" spans="2:4" x14ac:dyDescent="0.2">
      <c r="B167" s="256"/>
      <c r="C167" s="257"/>
      <c r="D167" s="257"/>
    </row>
    <row r="168" spans="2:4" x14ac:dyDescent="0.2">
      <c r="B168" s="256"/>
      <c r="C168" s="257"/>
      <c r="D168" s="257"/>
    </row>
    <row r="169" spans="2:4" x14ac:dyDescent="0.2">
      <c r="B169" s="256"/>
      <c r="C169" s="257"/>
      <c r="D169" s="257"/>
    </row>
    <row r="170" spans="2:4" x14ac:dyDescent="0.2">
      <c r="B170" s="256"/>
      <c r="C170" s="257"/>
      <c r="D170" s="257"/>
    </row>
    <row r="171" spans="2:4" x14ac:dyDescent="0.2">
      <c r="B171" s="256"/>
      <c r="C171" s="257"/>
      <c r="D171" s="257"/>
    </row>
    <row r="172" spans="2:4" x14ac:dyDescent="0.2">
      <c r="B172" s="256"/>
      <c r="C172" s="257"/>
      <c r="D172" s="257"/>
    </row>
    <row r="173" spans="2:4" x14ac:dyDescent="0.2">
      <c r="B173" s="256"/>
      <c r="C173" s="257"/>
      <c r="D173" s="257"/>
    </row>
    <row r="174" spans="2:4" x14ac:dyDescent="0.2">
      <c r="B174" s="256"/>
      <c r="C174" s="257"/>
      <c r="D174" s="257"/>
    </row>
    <row r="175" spans="2:4" x14ac:dyDescent="0.2">
      <c r="B175" s="256"/>
      <c r="C175" s="257"/>
      <c r="D175" s="257"/>
    </row>
    <row r="176" spans="2:4" x14ac:dyDescent="0.2">
      <c r="B176" s="256"/>
      <c r="C176" s="257"/>
      <c r="D176" s="257"/>
    </row>
    <row r="177" spans="2:4" x14ac:dyDescent="0.2">
      <c r="B177" s="256"/>
      <c r="C177" s="257"/>
      <c r="D177" s="257"/>
    </row>
    <row r="178" spans="2:4" x14ac:dyDescent="0.2">
      <c r="B178" s="256"/>
      <c r="C178" s="257"/>
      <c r="D178" s="257"/>
    </row>
    <row r="179" spans="2:4" x14ac:dyDescent="0.2">
      <c r="B179" s="256"/>
      <c r="C179" s="257"/>
      <c r="D179" s="257"/>
    </row>
    <row r="180" spans="2:4" x14ac:dyDescent="0.2">
      <c r="B180" s="256"/>
      <c r="C180" s="257"/>
      <c r="D180" s="257"/>
    </row>
    <row r="181" spans="2:4" x14ac:dyDescent="0.2">
      <c r="B181" s="256"/>
      <c r="C181" s="257"/>
      <c r="D181" s="257"/>
    </row>
    <row r="182" spans="2:4" x14ac:dyDescent="0.2">
      <c r="B182" s="256"/>
      <c r="C182" s="257"/>
      <c r="D182" s="257"/>
    </row>
    <row r="183" spans="2:4" x14ac:dyDescent="0.2">
      <c r="B183" s="256"/>
      <c r="C183" s="257"/>
      <c r="D183" s="257"/>
    </row>
    <row r="184" spans="2:4" x14ac:dyDescent="0.2">
      <c r="B184" s="256"/>
      <c r="C184" s="257"/>
      <c r="D184" s="257"/>
    </row>
    <row r="185" spans="2:4" x14ac:dyDescent="0.2">
      <c r="B185" s="256"/>
      <c r="C185" s="257"/>
      <c r="D185" s="257"/>
    </row>
    <row r="186" spans="2:4" x14ac:dyDescent="0.2">
      <c r="B186" s="256"/>
      <c r="C186" s="257"/>
      <c r="D186" s="257"/>
    </row>
    <row r="187" spans="2:4" x14ac:dyDescent="0.2">
      <c r="B187" s="256"/>
      <c r="C187" s="257"/>
      <c r="D187" s="257"/>
    </row>
    <row r="188" spans="2:4" x14ac:dyDescent="0.2">
      <c r="B188" s="256"/>
      <c r="C188" s="257"/>
      <c r="D188" s="257"/>
    </row>
    <row r="189" spans="2:4" x14ac:dyDescent="0.2">
      <c r="B189" s="256"/>
      <c r="C189" s="257"/>
      <c r="D189" s="257"/>
    </row>
    <row r="190" spans="2:4" x14ac:dyDescent="0.2">
      <c r="B190" s="256"/>
      <c r="C190" s="257"/>
      <c r="D190" s="257"/>
    </row>
    <row r="191" spans="2:4" x14ac:dyDescent="0.2">
      <c r="B191" s="256"/>
      <c r="C191" s="257"/>
      <c r="D191" s="257"/>
    </row>
    <row r="192" spans="2:4" x14ac:dyDescent="0.2">
      <c r="B192" s="256"/>
      <c r="C192" s="257"/>
      <c r="D192" s="257"/>
    </row>
    <row r="193" spans="2:4" x14ac:dyDescent="0.2">
      <c r="B193" s="256"/>
      <c r="C193" s="257"/>
      <c r="D193" s="257"/>
    </row>
    <row r="194" spans="2:4" x14ac:dyDescent="0.2">
      <c r="B194" s="256"/>
      <c r="C194" s="257"/>
      <c r="D194" s="257"/>
    </row>
    <row r="195" spans="2:4" x14ac:dyDescent="0.2">
      <c r="B195" s="256"/>
      <c r="C195" s="257"/>
      <c r="D195" s="257"/>
    </row>
    <row r="196" spans="2:4" x14ac:dyDescent="0.2">
      <c r="B196" s="256"/>
      <c r="C196" s="257"/>
      <c r="D196" s="257"/>
    </row>
    <row r="197" spans="2:4" x14ac:dyDescent="0.2">
      <c r="B197" s="256"/>
      <c r="C197" s="257"/>
      <c r="D197" s="257"/>
    </row>
    <row r="198" spans="2:4" x14ac:dyDescent="0.2">
      <c r="B198" s="256"/>
      <c r="C198" s="257"/>
      <c r="D198" s="257"/>
    </row>
    <row r="199" spans="2:4" x14ac:dyDescent="0.2">
      <c r="B199" s="256"/>
      <c r="C199" s="257"/>
      <c r="D199" s="257"/>
    </row>
    <row r="200" spans="2:4" x14ac:dyDescent="0.2">
      <c r="B200" s="256"/>
      <c r="C200" s="257"/>
      <c r="D200" s="257"/>
    </row>
    <row r="201" spans="2:4" x14ac:dyDescent="0.2">
      <c r="B201" s="256"/>
      <c r="C201" s="257"/>
      <c r="D201" s="257"/>
    </row>
    <row r="202" spans="2:4" x14ac:dyDescent="0.2">
      <c r="B202" s="256"/>
      <c r="C202" s="257"/>
      <c r="D202" s="257"/>
    </row>
    <row r="203" spans="2:4" x14ac:dyDescent="0.2">
      <c r="B203" s="256"/>
      <c r="C203" s="257"/>
      <c r="D203" s="257"/>
    </row>
    <row r="204" spans="2:4" x14ac:dyDescent="0.2">
      <c r="B204" s="256"/>
      <c r="C204" s="257"/>
      <c r="D204" s="257"/>
    </row>
    <row r="205" spans="2:4" x14ac:dyDescent="0.2">
      <c r="B205" s="256"/>
      <c r="C205" s="257"/>
      <c r="D205" s="257"/>
    </row>
    <row r="206" spans="2:4" x14ac:dyDescent="0.2">
      <c r="B206" s="256"/>
      <c r="C206" s="257"/>
      <c r="D206" s="257"/>
    </row>
    <row r="207" spans="2:4" x14ac:dyDescent="0.2">
      <c r="B207" s="256"/>
      <c r="C207" s="257"/>
      <c r="D207" s="257"/>
    </row>
    <row r="208" spans="2:4" x14ac:dyDescent="0.2">
      <c r="B208" s="256"/>
      <c r="C208" s="257"/>
      <c r="D208" s="257"/>
    </row>
    <row r="209" spans="2:4" x14ac:dyDescent="0.2">
      <c r="B209" s="256"/>
      <c r="C209" s="257"/>
      <c r="D209" s="257"/>
    </row>
    <row r="210" spans="2:4" x14ac:dyDescent="0.2">
      <c r="B210" s="256"/>
      <c r="C210" s="257"/>
      <c r="D210" s="257"/>
    </row>
    <row r="211" spans="2:4" x14ac:dyDescent="0.2">
      <c r="B211" s="256"/>
      <c r="C211" s="257"/>
      <c r="D211" s="257"/>
    </row>
    <row r="212" spans="2:4" x14ac:dyDescent="0.2">
      <c r="B212" s="256"/>
      <c r="C212" s="257"/>
      <c r="D212" s="257"/>
    </row>
    <row r="213" spans="2:4" x14ac:dyDescent="0.2">
      <c r="B213" s="256"/>
      <c r="C213" s="257"/>
      <c r="D213" s="257"/>
    </row>
    <row r="214" spans="2:4" x14ac:dyDescent="0.2">
      <c r="B214" s="256"/>
      <c r="C214" s="257"/>
      <c r="D214" s="257"/>
    </row>
    <row r="215" spans="2:4" x14ac:dyDescent="0.2">
      <c r="B215" s="256"/>
      <c r="C215" s="257"/>
      <c r="D215" s="257"/>
    </row>
    <row r="216" spans="2:4" x14ac:dyDescent="0.2">
      <c r="B216" s="256"/>
      <c r="C216" s="257"/>
      <c r="D216" s="257"/>
    </row>
    <row r="217" spans="2:4" x14ac:dyDescent="0.2">
      <c r="B217" s="256"/>
      <c r="C217" s="257"/>
      <c r="D217" s="257"/>
    </row>
    <row r="218" spans="2:4" x14ac:dyDescent="0.2">
      <c r="B218" s="256"/>
      <c r="C218" s="257"/>
      <c r="D218" s="257"/>
    </row>
    <row r="219" spans="2:4" x14ac:dyDescent="0.2">
      <c r="B219" s="256"/>
      <c r="C219" s="257"/>
      <c r="D219" s="257"/>
    </row>
    <row r="220" spans="2:4" x14ac:dyDescent="0.2">
      <c r="B220" s="256"/>
      <c r="C220" s="257"/>
      <c r="D220" s="257"/>
    </row>
    <row r="221" spans="2:4" x14ac:dyDescent="0.2">
      <c r="B221" s="256"/>
      <c r="C221" s="257"/>
      <c r="D221" s="257"/>
    </row>
    <row r="222" spans="2:4" x14ac:dyDescent="0.2">
      <c r="B222" s="256"/>
      <c r="C222" s="257"/>
      <c r="D222" s="257"/>
    </row>
    <row r="223" spans="2:4" x14ac:dyDescent="0.2">
      <c r="B223" s="256"/>
      <c r="C223" s="257"/>
      <c r="D223" s="257"/>
    </row>
    <row r="224" spans="2:4" x14ac:dyDescent="0.2">
      <c r="B224" s="256"/>
      <c r="C224" s="257"/>
      <c r="D224" s="257"/>
    </row>
    <row r="225" spans="2:4" x14ac:dyDescent="0.2">
      <c r="B225" s="256"/>
      <c r="C225" s="257"/>
      <c r="D225" s="257"/>
    </row>
    <row r="226" spans="2:4" x14ac:dyDescent="0.2">
      <c r="B226" s="256"/>
      <c r="C226" s="257"/>
      <c r="D226" s="257"/>
    </row>
    <row r="227" spans="2:4" x14ac:dyDescent="0.2">
      <c r="B227" s="256"/>
      <c r="C227" s="257"/>
      <c r="D227" s="257"/>
    </row>
    <row r="228" spans="2:4" x14ac:dyDescent="0.2">
      <c r="B228" s="256"/>
      <c r="C228" s="257"/>
      <c r="D228" s="257"/>
    </row>
    <row r="229" spans="2:4" x14ac:dyDescent="0.2">
      <c r="B229" s="256"/>
      <c r="C229" s="257"/>
      <c r="D229" s="257"/>
    </row>
    <row r="230" spans="2:4" x14ac:dyDescent="0.2">
      <c r="B230" s="256"/>
      <c r="C230" s="257"/>
      <c r="D230" s="257"/>
    </row>
    <row r="231" spans="2:4" x14ac:dyDescent="0.2">
      <c r="B231" s="256"/>
      <c r="C231" s="257"/>
      <c r="D231" s="257"/>
    </row>
    <row r="232" spans="2:4" x14ac:dyDescent="0.2">
      <c r="B232" s="256"/>
      <c r="C232" s="257"/>
      <c r="D232" s="257"/>
    </row>
    <row r="233" spans="2:4" x14ac:dyDescent="0.2">
      <c r="B233" s="256"/>
      <c r="C233" s="257"/>
      <c r="D233" s="257"/>
    </row>
    <row r="234" spans="2:4" x14ac:dyDescent="0.2">
      <c r="B234" s="256"/>
      <c r="C234" s="257"/>
      <c r="D234" s="257"/>
    </row>
    <row r="235" spans="2:4" x14ac:dyDescent="0.2">
      <c r="B235" s="256"/>
      <c r="C235" s="257"/>
      <c r="D235" s="257"/>
    </row>
    <row r="236" spans="2:4" x14ac:dyDescent="0.2">
      <c r="B236" s="256"/>
      <c r="C236" s="257"/>
      <c r="D236" s="257"/>
    </row>
    <row r="237" spans="2:4" x14ac:dyDescent="0.2">
      <c r="B237" s="256"/>
      <c r="C237" s="257"/>
      <c r="D237" s="257"/>
    </row>
    <row r="238" spans="2:4" x14ac:dyDescent="0.2">
      <c r="B238" s="256"/>
      <c r="C238" s="257"/>
      <c r="D238" s="257"/>
    </row>
    <row r="239" spans="2:4" x14ac:dyDescent="0.2">
      <c r="B239" s="256"/>
      <c r="C239" s="257"/>
      <c r="D239" s="257"/>
    </row>
    <row r="240" spans="2:4" x14ac:dyDescent="0.2">
      <c r="B240" s="256"/>
      <c r="C240" s="257"/>
      <c r="D240" s="257"/>
    </row>
    <row r="241" spans="2:4" x14ac:dyDescent="0.2">
      <c r="B241" s="256"/>
      <c r="C241" s="257"/>
      <c r="D241" s="257"/>
    </row>
    <row r="242" spans="2:4" x14ac:dyDescent="0.2">
      <c r="B242" s="256"/>
      <c r="C242" s="257"/>
      <c r="D242" s="257"/>
    </row>
    <row r="243" spans="2:4" x14ac:dyDescent="0.2">
      <c r="B243" s="256"/>
      <c r="C243" s="257"/>
      <c r="D243" s="257"/>
    </row>
    <row r="244" spans="2:4" x14ac:dyDescent="0.2">
      <c r="B244" s="256"/>
      <c r="C244" s="257"/>
      <c r="D244" s="257"/>
    </row>
    <row r="245" spans="2:4" x14ac:dyDescent="0.2">
      <c r="B245" s="256"/>
      <c r="C245" s="257"/>
      <c r="D245" s="257"/>
    </row>
    <row r="246" spans="2:4" x14ac:dyDescent="0.2">
      <c r="B246" s="256"/>
      <c r="C246" s="257"/>
      <c r="D246" s="257"/>
    </row>
    <row r="247" spans="2:4" x14ac:dyDescent="0.2">
      <c r="B247" s="256"/>
      <c r="C247" s="257"/>
      <c r="D247" s="257"/>
    </row>
    <row r="248" spans="2:4" x14ac:dyDescent="0.2">
      <c r="B248" s="256"/>
      <c r="C248" s="257"/>
      <c r="D248" s="257"/>
    </row>
    <row r="249" spans="2:4" x14ac:dyDescent="0.2">
      <c r="B249" s="256"/>
      <c r="C249" s="257"/>
      <c r="D249" s="257"/>
    </row>
    <row r="250" spans="2:4" x14ac:dyDescent="0.2">
      <c r="B250" s="256"/>
      <c r="C250" s="257"/>
      <c r="D250" s="257"/>
    </row>
    <row r="251" spans="2:4" x14ac:dyDescent="0.2">
      <c r="B251" s="256"/>
      <c r="C251" s="257"/>
      <c r="D251" s="257"/>
    </row>
    <row r="252" spans="2:4" x14ac:dyDescent="0.2">
      <c r="B252" s="256"/>
      <c r="C252" s="257"/>
      <c r="D252" s="257"/>
    </row>
    <row r="253" spans="2:4" x14ac:dyDescent="0.2">
      <c r="B253" s="256"/>
      <c r="C253" s="257"/>
      <c r="D253" s="257"/>
    </row>
    <row r="254" spans="2:4" x14ac:dyDescent="0.2">
      <c r="B254" s="256"/>
      <c r="C254" s="257"/>
      <c r="D254" s="257"/>
    </row>
    <row r="255" spans="2:4" x14ac:dyDescent="0.2">
      <c r="B255" s="256"/>
      <c r="C255" s="257"/>
      <c r="D255" s="257"/>
    </row>
  </sheetData>
  <sheetProtection password="EECE" sheet="1" objects="1" scenarios="1" formatCells="0" formatColumns="0" formatRows="0"/>
  <customSheetViews>
    <customSheetView guid="{C3088B2E-F853-4D7E-B687-C6500891DFCB}" scale="110" showPageBreaks="1" fitToPage="1" printArea="1">
      <pane xSplit="3" ySplit="6" topLeftCell="D7" activePane="bottomRight" state="frozen"/>
      <selection pane="bottomRight"/>
      <pageMargins left="0.47244094488188998" right="0.47244094488188998" top="0.59055118110236204" bottom="0.59055118110236204" header="0.39370078740157499" footer="0.39370078740157499"/>
      <pageSetup scale="81" fitToHeight="0" orientation="landscape" r:id="rId1"/>
      <headerFooter alignWithMargins="0">
        <oddFooter>&amp;L&amp;8&amp;D  &amp;T&amp;R&amp;8March 2014, Version 0.2</oddFooter>
      </headerFooter>
    </customSheetView>
    <customSheetView guid="{F866C9B2-56BF-4FE4-B270-CC8FE15A5892}" scale="110" showPageBreaks="1" fitToPage="1" printArea="1">
      <pane xSplit="2" ySplit="6" topLeftCell="D7" activePane="bottomRight" state="frozen"/>
      <selection pane="bottomRight"/>
      <pageMargins left="0.47244094488188998" right="0.47244094488188998" top="0.59055118110236204" bottom="0.59055118110236204" header="0.39370078740157499" footer="0.39370078740157499"/>
      <pageSetup scale="80" fitToHeight="0" orientation="landscape" r:id="rId2"/>
      <headerFooter alignWithMargins="0">
        <oddFooter>&amp;L&amp;8&amp;D  &amp;T&amp;R&amp;8March 2014, Version 0.2</oddFooter>
      </headerFooter>
    </customSheetView>
    <customSheetView guid="{D66484CB-9D53-43A1-A83D-11534BC40BF6}" scale="110" showPageBreaks="1" fitToPage="1" printArea="1">
      <pane xSplit="3" ySplit="6" topLeftCell="D7" activePane="bottomRight" state="frozen"/>
      <selection pane="bottomRight" activeCell="D7" sqref="D7"/>
      <pageMargins left="0.47244094488188998" right="0.47244094488188998" top="0.59055118110236204" bottom="0.59055118110236204" header="0.39370078740157499" footer="0.39370078740157499"/>
      <pageSetup scale="80" fitToHeight="0" orientation="landscape" r:id="rId3"/>
      <headerFooter alignWithMargins="0">
        <oddFooter>&amp;L&amp;8&amp;D  &amp;T&amp;R&amp;8March 2014, Version 0.2</oddFooter>
      </headerFooter>
    </customSheetView>
  </customSheetViews>
  <mergeCells count="12">
    <mergeCell ref="G1:M1"/>
    <mergeCell ref="B4:C5"/>
    <mergeCell ref="E4:H4"/>
    <mergeCell ref="I4:I5"/>
    <mergeCell ref="K4:K5"/>
    <mergeCell ref="F2:N2"/>
    <mergeCell ref="P4:Q4"/>
    <mergeCell ref="N3:N5"/>
    <mergeCell ref="G3:H3"/>
    <mergeCell ref="L4:L5"/>
    <mergeCell ref="M4:M5"/>
    <mergeCell ref="J4:J5"/>
  </mergeCells>
  <conditionalFormatting sqref="P8:Q41">
    <cfRule type="cellIs" dxfId="170" priority="69" operator="notBetween">
      <formula>-0.1</formula>
      <formula>0.1</formula>
    </cfRule>
    <cfRule type="cellIs" dxfId="169" priority="70" operator="greaterThan">
      <formula>0.5</formula>
    </cfRule>
  </conditionalFormatting>
  <conditionalFormatting sqref="E44:N55">
    <cfRule type="cellIs" dxfId="168" priority="67" operator="lessThan">
      <formula>-0.5</formula>
    </cfRule>
    <cfRule type="cellIs" dxfId="167" priority="68" operator="greaterThan">
      <formula>0.5</formula>
    </cfRule>
  </conditionalFormatting>
  <conditionalFormatting sqref="E45:E46">
    <cfRule type="cellIs" dxfId="166" priority="62" operator="lessThan">
      <formula>-0.5</formula>
    </cfRule>
    <cfRule type="cellIs" dxfId="165" priority="63" operator="greaterThan">
      <formula>0.5</formula>
    </cfRule>
  </conditionalFormatting>
  <conditionalFormatting sqref="E47:E48">
    <cfRule type="cellIs" dxfId="164" priority="59" operator="lessThan">
      <formula>-0.5</formula>
    </cfRule>
    <cfRule type="cellIs" dxfId="163" priority="60" operator="greaterThan">
      <formula>0.5</formula>
    </cfRule>
  </conditionalFormatting>
  <conditionalFormatting sqref="E45:E55">
    <cfRule type="cellIs" dxfId="162" priority="56" operator="lessThan">
      <formula>-0.5</formula>
    </cfRule>
    <cfRule type="cellIs" dxfId="161" priority="57" operator="greaterThan">
      <formula>0.5</formula>
    </cfRule>
  </conditionalFormatting>
  <conditionalFormatting sqref="F45:N46">
    <cfRule type="cellIs" dxfId="160" priority="52" operator="lessThan">
      <formula>-0.5</formula>
    </cfRule>
    <cfRule type="cellIs" dxfId="159" priority="53" operator="greaterThan">
      <formula>0.5</formula>
    </cfRule>
  </conditionalFormatting>
  <conditionalFormatting sqref="F47:N48">
    <cfRule type="cellIs" dxfId="158" priority="49" operator="lessThan">
      <formula>-0.5</formula>
    </cfRule>
    <cfRule type="cellIs" dxfId="157" priority="50" operator="greaterThan">
      <formula>0.5</formula>
    </cfRule>
  </conditionalFormatting>
  <conditionalFormatting sqref="F45:N55">
    <cfRule type="cellIs" dxfId="156" priority="46" operator="lessThan">
      <formula>-0.5</formula>
    </cfRule>
    <cfRule type="cellIs" dxfId="155" priority="47" operator="greaterThan">
      <formula>0.5</formula>
    </cfRule>
  </conditionalFormatting>
  <conditionalFormatting sqref="E45:N55">
    <cfRule type="cellIs" dxfId="154" priority="41" operator="lessThan">
      <formula>-0.5</formula>
    </cfRule>
    <cfRule type="cellIs" dxfId="153" priority="42" operator="greaterThan">
      <formula>0.5</formula>
    </cfRule>
  </conditionalFormatting>
  <conditionalFormatting sqref="E45:N46">
    <cfRule type="cellIs" dxfId="152" priority="38" operator="lessThan">
      <formula>-0.5</formula>
    </cfRule>
    <cfRule type="cellIs" dxfId="151" priority="39" operator="greaterThan">
      <formula>0.5</formula>
    </cfRule>
  </conditionalFormatting>
  <conditionalFormatting sqref="E47:N48">
    <cfRule type="cellIs" dxfId="150" priority="35" operator="lessThan">
      <formula>-0.5</formula>
    </cfRule>
    <cfRule type="cellIs" dxfId="149" priority="36" operator="greaterThan">
      <formula>0.5</formula>
    </cfRule>
  </conditionalFormatting>
  <conditionalFormatting sqref="E45:N55">
    <cfRule type="cellIs" dxfId="148" priority="32" operator="lessThan">
      <formula>-0.5</formula>
    </cfRule>
    <cfRule type="cellIs" dxfId="147" priority="33" operator="greaterThan">
      <formula>0.5</formula>
    </cfRule>
  </conditionalFormatting>
  <conditionalFormatting sqref="F45:N46">
    <cfRule type="cellIs" dxfId="146" priority="28" operator="lessThan">
      <formula>-0.5</formula>
    </cfRule>
    <cfRule type="cellIs" dxfId="145" priority="29" operator="greaterThan">
      <formula>0.5</formula>
    </cfRule>
  </conditionalFormatting>
  <conditionalFormatting sqref="F47:N48">
    <cfRule type="cellIs" dxfId="144" priority="25" operator="lessThan">
      <formula>-0.5</formula>
    </cfRule>
    <cfRule type="cellIs" dxfId="143" priority="26" operator="greaterThan">
      <formula>0.5</formula>
    </cfRule>
  </conditionalFormatting>
  <conditionalFormatting sqref="F45:N55">
    <cfRule type="cellIs" dxfId="142" priority="22" operator="lessThan">
      <formula>-0.5</formula>
    </cfRule>
    <cfRule type="cellIs" dxfId="141" priority="23" operator="greaterThan">
      <formula>0.5</formula>
    </cfRule>
  </conditionalFormatting>
  <conditionalFormatting sqref="E45:N55">
    <cfRule type="cellIs" dxfId="140" priority="18" operator="lessThan">
      <formula>-0.5</formula>
    </cfRule>
    <cfRule type="cellIs" dxfId="139" priority="19" operator="greaterThan">
      <formula>0.5</formula>
    </cfRule>
  </conditionalFormatting>
  <conditionalFormatting sqref="E56:N57 E60:N73 E58:F59 H58:K59 M58:N59">
    <cfRule type="containsText" dxfId="138" priority="43" operator="containsText" text="Vérifier">
      <formula>NOT(ISERROR(SEARCH("Vérifier",E56)))</formula>
    </cfRule>
  </conditionalFormatting>
  <conditionalFormatting sqref="P8:Q37">
    <cfRule type="cellIs" dxfId="137" priority="8" operator="between">
      <formula>-0.1</formula>
      <formula>0.1</formula>
    </cfRule>
    <cfRule type="containsText" dxfId="136" priority="9" operator="containsText" text="NA">
      <formula>NOT(ISERROR(SEARCH("NA",P8)))</formula>
    </cfRule>
  </conditionalFormatting>
  <conditionalFormatting sqref="E45:N51">
    <cfRule type="cellIs" dxfId="135" priority="10" operator="notBetween">
      <formula>-0.1</formula>
      <formula>0.1</formula>
    </cfRule>
    <cfRule type="cellIs" dxfId="134" priority="11" operator="between">
      <formula>-0.1</formula>
      <formula>0.1</formula>
    </cfRule>
    <cfRule type="containsText" dxfId="133" priority="12" operator="containsText" text="NA">
      <formula>NOT(ISERROR(SEARCH("NA",E45)))</formula>
    </cfRule>
  </conditionalFormatting>
  <conditionalFormatting sqref="G58:G59">
    <cfRule type="containsText" dxfId="132" priority="6" operator="containsText" text="NV">
      <formula>NOT(ISERROR(SEARCH("NV",G58)))</formula>
    </cfRule>
    <cfRule type="containsText" dxfId="131" priority="7" operator="containsText" text="check">
      <formula>NOT(ISERROR(SEARCH("check",G58)))</formula>
    </cfRule>
  </conditionalFormatting>
  <conditionalFormatting sqref="L58:L59">
    <cfRule type="containsText" dxfId="130" priority="4" operator="containsText" text="NV">
      <formula>NOT(ISERROR(SEARCH("NV",L58)))</formula>
    </cfRule>
    <cfRule type="containsText" dxfId="129" priority="5" operator="containsText" text="check">
      <formula>NOT(ISERROR(SEARCH("check",L58)))</formula>
    </cfRule>
  </conditionalFormatting>
  <conditionalFormatting sqref="G58:L59">
    <cfRule type="containsText" dxfId="128" priority="1" operator="containsText" text="v">
      <formula>NOT(ISERROR(SEARCH("v",G58)))</formula>
    </cfRule>
    <cfRule type="containsText" dxfId="127" priority="2" operator="containsText" text="verificar">
      <formula>NOT(ISERROR(SEARCH("verificar",G58)))</formula>
    </cfRule>
    <cfRule type="containsText" dxfId="126" priority="3" operator="containsText" text="si">
      <formula>NOT(ISERROR(SEARCH("si",G58)))</formula>
    </cfRule>
  </conditionalFormatting>
  <pageMargins left="0.47244094488188998" right="0.47244094488188998" top="0.59055118110236204" bottom="0.59055118110236204" header="0.39370078740157499" footer="0.39370078740157499"/>
  <pageSetup scale="80" fitToHeight="0" orientation="landscape" r:id="rId4"/>
  <headerFooter alignWithMargins="0">
    <oddFooter>&amp;L&amp;8&amp;D  &amp;T&amp;R&amp;8March 2014, Version 0.2</oddFooter>
  </headerFooter>
  <legacyDrawing r:id="rId5"/>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indexed="52"/>
    <pageSetUpPr fitToPage="1"/>
  </sheetPr>
  <dimension ref="A1:Q354"/>
  <sheetViews>
    <sheetView zoomScale="140" zoomScaleNormal="140" workbookViewId="0">
      <pane xSplit="4" ySplit="7" topLeftCell="E47" activePane="bottomRight" state="frozen"/>
      <selection activeCell="Q53" sqref="P8:Q53"/>
      <selection pane="topRight" activeCell="Q53" sqref="P8:Q53"/>
      <selection pane="bottomLeft" activeCell="Q53" sqref="P8:Q53"/>
      <selection pane="bottomRight" activeCell="H8" sqref="H8"/>
    </sheetView>
  </sheetViews>
  <sheetFormatPr baseColWidth="10" defaultColWidth="9.140625" defaultRowHeight="12.75" x14ac:dyDescent="0.2"/>
  <cols>
    <col min="1" max="1" width="9.28515625" style="164" hidden="1" customWidth="1"/>
    <col min="2" max="2" width="7.28515625" style="221" customWidth="1"/>
    <col min="3" max="3" width="36" style="164" customWidth="1"/>
    <col min="4" max="4" width="0.85546875" style="164" hidden="1" customWidth="1"/>
    <col min="5" max="14" width="10" style="164" customWidth="1"/>
    <col min="15" max="15" width="3.28515625" style="164" customWidth="1"/>
    <col min="16" max="17" width="11.7109375" style="164" customWidth="1"/>
    <col min="18" max="18" width="9.140625" style="164" customWidth="1"/>
    <col min="19" max="16384" width="9.140625" style="164"/>
  </cols>
  <sheetData>
    <row r="1" spans="1:17" ht="14.25" x14ac:dyDescent="0.25">
      <c r="B1" s="513" t="str">
        <f>+Coverpage!A1</f>
        <v>GFSM2014_V1.5</v>
      </c>
      <c r="C1" s="514"/>
      <c r="D1" s="515"/>
      <c r="E1" s="516"/>
      <c r="F1" s="517"/>
      <c r="G1" s="771" t="str">
        <f>Reporting_Country_Name</f>
        <v>Colombia</v>
      </c>
      <c r="H1" s="771"/>
      <c r="I1" s="771"/>
      <c r="J1" s="771"/>
      <c r="K1" s="771"/>
      <c r="L1" s="771"/>
      <c r="M1" s="771"/>
      <c r="N1" s="661" t="str">
        <f>Reporting_Country_Code</f>
        <v>233</v>
      </c>
      <c r="O1" s="519"/>
      <c r="P1" s="653" t="s">
        <v>2731</v>
      </c>
      <c r="Q1" s="654"/>
    </row>
    <row r="2" spans="1:17" ht="14.25" x14ac:dyDescent="0.25">
      <c r="B2" s="513" t="s">
        <v>3148</v>
      </c>
      <c r="C2" s="582"/>
      <c r="D2" s="583"/>
      <c r="E2" s="523"/>
      <c r="F2" s="780" t="str">
        <f>"En "&amp;Coverpage!$I$15&amp;" de "&amp;Coverpage!$I$14&amp;" / El año fiscal termina en "&amp;Coverpage!$I$11&amp;" "&amp;Coverpage!$I$12</f>
        <v xml:space="preserve">En Billion de Colombian Pesos (COP) / El año fiscal termina en  </v>
      </c>
      <c r="G2" s="781"/>
      <c r="H2" s="781"/>
      <c r="I2" s="781"/>
      <c r="J2" s="781"/>
      <c r="K2" s="781"/>
      <c r="L2" s="781"/>
      <c r="M2" s="781"/>
      <c r="N2" s="781"/>
      <c r="O2" s="519"/>
      <c r="P2" s="655" t="s">
        <v>2732</v>
      </c>
      <c r="Q2" s="656"/>
    </row>
    <row r="3" spans="1:17" ht="12" customHeight="1" x14ac:dyDescent="0.25">
      <c r="B3" s="524"/>
      <c r="C3" s="525"/>
      <c r="D3" s="526"/>
      <c r="E3" s="527"/>
      <c r="F3" s="528"/>
      <c r="G3" s="784" t="s">
        <v>2726</v>
      </c>
      <c r="H3" s="784"/>
      <c r="I3" s="529" t="str">
        <f>Reporting_Period_Code</f>
        <v>2016</v>
      </c>
      <c r="J3" s="529"/>
      <c r="K3" s="528"/>
      <c r="L3" s="528"/>
      <c r="M3" s="530"/>
      <c r="N3" s="790" t="s">
        <v>2723</v>
      </c>
      <c r="O3" s="531"/>
      <c r="P3" s="168"/>
      <c r="Q3" s="168"/>
    </row>
    <row r="4" spans="1:17" ht="12" customHeight="1" x14ac:dyDescent="0.2">
      <c r="B4" s="794" t="s">
        <v>3147</v>
      </c>
      <c r="C4" s="795"/>
      <c r="D4" s="532"/>
      <c r="E4" s="787" t="s">
        <v>2727</v>
      </c>
      <c r="F4" s="788"/>
      <c r="G4" s="788"/>
      <c r="H4" s="789"/>
      <c r="I4" s="790" t="s">
        <v>2719</v>
      </c>
      <c r="J4" s="790" t="s">
        <v>2720</v>
      </c>
      <c r="K4" s="792" t="s">
        <v>2721</v>
      </c>
      <c r="L4" s="790" t="s">
        <v>2728</v>
      </c>
      <c r="M4" s="793" t="s">
        <v>2722</v>
      </c>
      <c r="N4" s="791"/>
      <c r="O4" s="531"/>
      <c r="P4" s="778" t="s">
        <v>2733</v>
      </c>
      <c r="Q4" s="779"/>
    </row>
    <row r="5" spans="1:17" ht="30" customHeight="1" x14ac:dyDescent="0.2">
      <c r="B5" s="794"/>
      <c r="C5" s="795"/>
      <c r="D5" s="532"/>
      <c r="E5" s="711" t="s">
        <v>2729</v>
      </c>
      <c r="F5" s="712" t="s">
        <v>2813</v>
      </c>
      <c r="G5" s="712" t="s">
        <v>2728</v>
      </c>
      <c r="H5" s="713" t="s">
        <v>2718</v>
      </c>
      <c r="I5" s="791"/>
      <c r="J5" s="791"/>
      <c r="K5" s="792"/>
      <c r="L5" s="791"/>
      <c r="M5" s="793"/>
      <c r="N5" s="791"/>
      <c r="O5" s="531"/>
      <c r="P5" s="668" t="s">
        <v>2734</v>
      </c>
      <c r="Q5" s="669" t="s">
        <v>2735</v>
      </c>
    </row>
    <row r="6" spans="1:17" ht="30" hidden="1" customHeight="1" x14ac:dyDescent="0.2">
      <c r="B6" s="618"/>
      <c r="C6" s="619"/>
      <c r="D6" s="532"/>
      <c r="E6" s="533" t="s">
        <v>1562</v>
      </c>
      <c r="F6" s="534" t="s">
        <v>1563</v>
      </c>
      <c r="G6" s="534" t="s">
        <v>1575</v>
      </c>
      <c r="H6" s="535" t="s">
        <v>634</v>
      </c>
      <c r="I6" s="535" t="s">
        <v>1564</v>
      </c>
      <c r="J6" s="534" t="s">
        <v>1574</v>
      </c>
      <c r="K6" s="535" t="s">
        <v>637</v>
      </c>
      <c r="L6" s="534" t="s">
        <v>1576</v>
      </c>
      <c r="M6" s="574" t="s">
        <v>1565</v>
      </c>
      <c r="N6" s="574" t="s">
        <v>1577</v>
      </c>
      <c r="O6" s="531"/>
      <c r="P6" s="169"/>
      <c r="Q6" s="170"/>
    </row>
    <row r="7" spans="1:17" ht="10.5" customHeight="1" x14ac:dyDescent="0.2">
      <c r="A7" s="143"/>
      <c r="B7" s="536"/>
      <c r="C7" s="537"/>
      <c r="D7" s="537"/>
      <c r="E7" s="538" t="s">
        <v>632</v>
      </c>
      <c r="F7" s="539" t="s">
        <v>633</v>
      </c>
      <c r="G7" s="540" t="s">
        <v>155</v>
      </c>
      <c r="H7" s="539" t="s">
        <v>634</v>
      </c>
      <c r="I7" s="540" t="s">
        <v>635</v>
      </c>
      <c r="J7" s="539" t="s">
        <v>636</v>
      </c>
      <c r="K7" s="540" t="s">
        <v>637</v>
      </c>
      <c r="L7" s="539" t="s">
        <v>156</v>
      </c>
      <c r="M7" s="541" t="s">
        <v>638</v>
      </c>
      <c r="N7" s="541" t="s">
        <v>639</v>
      </c>
      <c r="O7" s="531"/>
      <c r="P7" s="171" t="s">
        <v>640</v>
      </c>
      <c r="Q7" s="172" t="s">
        <v>641</v>
      </c>
    </row>
    <row r="8" spans="1:17" ht="15" customHeight="1" x14ac:dyDescent="0.25">
      <c r="A8" s="143" t="s">
        <v>1801</v>
      </c>
      <c r="B8" s="594" t="s">
        <v>62</v>
      </c>
      <c r="C8" s="595" t="s">
        <v>3149</v>
      </c>
      <c r="D8" s="586" t="s">
        <v>48</v>
      </c>
      <c r="E8" s="87">
        <f t="shared" ref="E8:N8" si="0">IF(OR(E9="NA",E22="NA",E49="NA"),"NA",IF(AND(E9="",E22="",E49=""),"",SUM(E9)+SUM(E22)-SUM(E49)))</f>
        <v>-254048.18784398795</v>
      </c>
      <c r="F8" s="87">
        <f t="shared" si="0"/>
        <v>8387.3260149999987</v>
      </c>
      <c r="G8" s="87">
        <f>IF(OR(G22="NA",G49="NA"),"NA",IF(AND(G22="",G49=""),"",SUM(G9)+SUM(G22)-SUM(G49)))</f>
        <v>75.875814448023448</v>
      </c>
      <c r="H8" s="87">
        <f t="shared" si="0"/>
        <v>-245584.98601453996</v>
      </c>
      <c r="I8" s="87">
        <f t="shared" si="0"/>
        <v>17186.706318</v>
      </c>
      <c r="J8" s="87">
        <f t="shared" si="0"/>
        <v>73667.273959365004</v>
      </c>
      <c r="K8" s="87">
        <f t="shared" si="0"/>
        <v>214639.38295901997</v>
      </c>
      <c r="L8" s="87">
        <f>IF(OR(L22="NA",L49="NA"),"NA",IF(AND(L22="",L49=""),"",SUM(L9)+SUM(L22)-SUM(L49)))</f>
        <v>115.11293325599399</v>
      </c>
      <c r="M8" s="87">
        <f t="shared" si="0"/>
        <v>60023.490155100939</v>
      </c>
      <c r="N8" s="145">
        <f t="shared" si="0"/>
        <v>-228398.27969654003</v>
      </c>
      <c r="O8" s="546"/>
      <c r="P8" s="268">
        <f t="shared" ref="P8:P39" si="1">IF(OR(H8="NA",E8="NA",F8="NA",G8="NA"),"NA",SUM(H8)-SUM(E8:G8))</f>
        <v>-2.9103830456733704E-11</v>
      </c>
      <c r="Q8" s="269">
        <f t="shared" ref="Q8:Q39" si="2">IF(OR(M8="NA",H8="NA",I8="NA",J8="NA",K8="NA",L8="NA"),"NA",SUM(M8)-SUM(H8:L8))</f>
        <v>-8.7311491370201111E-11</v>
      </c>
    </row>
    <row r="9" spans="1:17" ht="15" customHeight="1" x14ac:dyDescent="0.25">
      <c r="A9" s="143" t="s">
        <v>1802</v>
      </c>
      <c r="B9" s="599" t="s">
        <v>169</v>
      </c>
      <c r="C9" s="600" t="s">
        <v>3150</v>
      </c>
      <c r="D9" s="553" t="s">
        <v>48</v>
      </c>
      <c r="E9" s="144">
        <f t="shared" ref="E9:N9" si="3">IF(OR(E10="NA",E15="NA",E16="NA",E17="NA"),"NA",IF(AND(E10="",E15="",E16="",E17=""),"",SUM(E10)+SUM(E15:E17)))</f>
        <v>118001.98876100002</v>
      </c>
      <c r="F9" s="144">
        <f t="shared" si="3"/>
        <v>4008.8938469999998</v>
      </c>
      <c r="G9" s="512">
        <v>0</v>
      </c>
      <c r="H9" s="144">
        <f t="shared" si="3"/>
        <v>122010.882608</v>
      </c>
      <c r="I9" s="144">
        <f t="shared" si="3"/>
        <v>6676.6136219999999</v>
      </c>
      <c r="J9" s="144">
        <f t="shared" si="3"/>
        <v>47136.089351999995</v>
      </c>
      <c r="K9" s="144">
        <f t="shared" si="3"/>
        <v>161091.43947099999</v>
      </c>
      <c r="L9" s="512">
        <v>0</v>
      </c>
      <c r="M9" s="144">
        <f t="shared" si="3"/>
        <v>336915.02505299996</v>
      </c>
      <c r="N9" s="144">
        <f t="shared" si="3"/>
        <v>128687.49622999999</v>
      </c>
      <c r="O9" s="546"/>
      <c r="P9" s="181">
        <f t="shared" si="1"/>
        <v>-1.4551915228366852E-11</v>
      </c>
      <c r="Q9" s="182">
        <f t="shared" si="2"/>
        <v>0</v>
      </c>
    </row>
    <row r="10" spans="1:17" ht="15" customHeight="1" x14ac:dyDescent="0.25">
      <c r="A10" s="143" t="s">
        <v>1803</v>
      </c>
      <c r="B10" s="547" t="s">
        <v>1205</v>
      </c>
      <c r="C10" s="601" t="s">
        <v>3151</v>
      </c>
      <c r="D10" s="532" t="s">
        <v>48</v>
      </c>
      <c r="E10" s="90">
        <f t="shared" ref="E10:N10" si="4">IF(OR(E11="NA",E12="NA",E13="NA",E14="NA"),"NA",IF(AND(E11="",E12="",E13="",E14=""),"",SUM(E11:E14)))</f>
        <v>109548.61914600001</v>
      </c>
      <c r="F10" s="90">
        <f t="shared" si="4"/>
        <v>1990.5657699999999</v>
      </c>
      <c r="G10" s="477">
        <v>0</v>
      </c>
      <c r="H10" s="90">
        <f t="shared" si="4"/>
        <v>111539.184916</v>
      </c>
      <c r="I10" s="90">
        <f t="shared" si="4"/>
        <v>6635.1718309999997</v>
      </c>
      <c r="J10" s="90">
        <f t="shared" si="4"/>
        <v>44656.580045999995</v>
      </c>
      <c r="K10" s="90">
        <f t="shared" si="4"/>
        <v>148794.27924799998</v>
      </c>
      <c r="L10" s="477">
        <v>0</v>
      </c>
      <c r="M10" s="90">
        <f t="shared" si="4"/>
        <v>311625.21604099998</v>
      </c>
      <c r="N10" s="90">
        <f t="shared" si="4"/>
        <v>118174.356747</v>
      </c>
      <c r="O10" s="546"/>
      <c r="P10" s="178">
        <f t="shared" si="1"/>
        <v>-1.4551915228366852E-11</v>
      </c>
      <c r="Q10" s="179">
        <f t="shared" si="2"/>
        <v>0</v>
      </c>
    </row>
    <row r="11" spans="1:17" ht="10.35" customHeight="1" x14ac:dyDescent="0.25">
      <c r="A11" s="143" t="s">
        <v>1804</v>
      </c>
      <c r="B11" s="549" t="s">
        <v>1206</v>
      </c>
      <c r="C11" s="602" t="s">
        <v>3006</v>
      </c>
      <c r="D11" s="532" t="s">
        <v>48</v>
      </c>
      <c r="E11" s="89">
        <v>93433.065354999999</v>
      </c>
      <c r="F11" s="89">
        <v>1453.3969540000001</v>
      </c>
      <c r="G11" s="473">
        <v>0</v>
      </c>
      <c r="H11" s="89">
        <f>IF(OR(E11="NA",F11="NA"),"NA",IF(AND(E11="",F11=""),"",SUM(E11:G11)))</f>
        <v>94886.462308999995</v>
      </c>
      <c r="I11" s="89">
        <v>6615.4901140000002</v>
      </c>
      <c r="J11" s="89">
        <v>41339.666065999998</v>
      </c>
      <c r="K11" s="89">
        <v>142667.05171599999</v>
      </c>
      <c r="L11" s="473">
        <v>0</v>
      </c>
      <c r="M11" s="89">
        <f>IF(OR(H11="NA",I11="NA",J11="NA",K11="NA"),"NA",IF(AND(H11="",I11="",J11="",K11=""),"",SUM(H11:L11)))</f>
        <v>285508.67020499997</v>
      </c>
      <c r="N11" s="89">
        <f>H11+I11</f>
        <v>101501.952423</v>
      </c>
      <c r="O11" s="546"/>
      <c r="P11" s="178">
        <f t="shared" si="1"/>
        <v>0</v>
      </c>
      <c r="Q11" s="179">
        <f t="shared" si="2"/>
        <v>0</v>
      </c>
    </row>
    <row r="12" spans="1:17" ht="10.35" customHeight="1" x14ac:dyDescent="0.25">
      <c r="A12" s="143" t="s">
        <v>1805</v>
      </c>
      <c r="B12" s="549" t="s">
        <v>1207</v>
      </c>
      <c r="C12" s="602" t="s">
        <v>3007</v>
      </c>
      <c r="D12" s="532" t="s">
        <v>48</v>
      </c>
      <c r="E12" s="89">
        <v>15801.935692999999</v>
      </c>
      <c r="F12" s="89">
        <v>506.43205599999999</v>
      </c>
      <c r="G12" s="473">
        <v>0</v>
      </c>
      <c r="H12" s="89">
        <f t="shared" ref="H12:H14" si="5">IF(OR(E12="NA",F12="NA"),"NA",IF(AND(E12="",F12=""),"",SUM(E12:G12)))</f>
        <v>16308.367748999999</v>
      </c>
      <c r="I12" s="89">
        <v>15.779812</v>
      </c>
      <c r="J12" s="89">
        <v>3212.8907340000001</v>
      </c>
      <c r="K12" s="89">
        <v>4860.2495140000001</v>
      </c>
      <c r="L12" s="473">
        <v>0</v>
      </c>
      <c r="M12" s="89">
        <f t="shared" ref="M12:M16" si="6">IF(OR(H12="NA",I12="NA",J12="NA",K12="NA"),"NA",IF(AND(H12="",I12="",J12="",K12=""),"",SUM(H12:L12)))</f>
        <v>24397.287808999998</v>
      </c>
      <c r="N12" s="89">
        <f t="shared" ref="N12:N14" si="7">H12+I12</f>
        <v>16324.147561</v>
      </c>
      <c r="O12" s="546"/>
      <c r="P12" s="178">
        <f t="shared" si="1"/>
        <v>0</v>
      </c>
      <c r="Q12" s="179">
        <f t="shared" si="2"/>
        <v>0</v>
      </c>
    </row>
    <row r="13" spans="1:17" ht="10.35" customHeight="1" x14ac:dyDescent="0.25">
      <c r="A13" s="143" t="s">
        <v>1806</v>
      </c>
      <c r="B13" s="549" t="s">
        <v>1208</v>
      </c>
      <c r="C13" s="602" t="s">
        <v>3008</v>
      </c>
      <c r="D13" s="532" t="s">
        <v>48</v>
      </c>
      <c r="E13" s="89">
        <v>313.61809799999997</v>
      </c>
      <c r="F13" s="89">
        <v>30.73676</v>
      </c>
      <c r="G13" s="473">
        <v>0</v>
      </c>
      <c r="H13" s="89">
        <f t="shared" si="5"/>
        <v>344.35485799999998</v>
      </c>
      <c r="I13" s="89">
        <v>3.9019050000000002</v>
      </c>
      <c r="J13" s="89">
        <v>104.023246</v>
      </c>
      <c r="K13" s="89">
        <v>1266.978018</v>
      </c>
      <c r="L13" s="473">
        <v>0</v>
      </c>
      <c r="M13" s="89">
        <f t="shared" si="6"/>
        <v>1719.2580269999999</v>
      </c>
      <c r="N13" s="89">
        <f t="shared" si="7"/>
        <v>348.25676299999998</v>
      </c>
      <c r="O13" s="546"/>
      <c r="P13" s="178">
        <f t="shared" si="1"/>
        <v>0</v>
      </c>
      <c r="Q13" s="179">
        <f t="shared" si="2"/>
        <v>0</v>
      </c>
    </row>
    <row r="14" spans="1:17" ht="10.35" customHeight="1" x14ac:dyDescent="0.25">
      <c r="A14" s="143" t="s">
        <v>2045</v>
      </c>
      <c r="B14" s="549" t="s">
        <v>1209</v>
      </c>
      <c r="C14" s="602" t="s">
        <v>3009</v>
      </c>
      <c r="D14" s="532" t="s">
        <v>48</v>
      </c>
      <c r="E14" s="89">
        <v>0</v>
      </c>
      <c r="F14" s="89">
        <v>0</v>
      </c>
      <c r="G14" s="473">
        <v>0</v>
      </c>
      <c r="H14" s="89">
        <f t="shared" si="5"/>
        <v>0</v>
      </c>
      <c r="I14" s="89">
        <v>0</v>
      </c>
      <c r="J14" s="89">
        <v>0</v>
      </c>
      <c r="K14" s="89">
        <v>0</v>
      </c>
      <c r="L14" s="473">
        <v>0</v>
      </c>
      <c r="M14" s="89">
        <f t="shared" si="6"/>
        <v>0</v>
      </c>
      <c r="N14" s="89">
        <f t="shared" si="7"/>
        <v>0</v>
      </c>
      <c r="O14" s="546"/>
      <c r="P14" s="178">
        <f t="shared" si="1"/>
        <v>0</v>
      </c>
      <c r="Q14" s="179">
        <f t="shared" si="2"/>
        <v>0</v>
      </c>
    </row>
    <row r="15" spans="1:17" ht="12" customHeight="1" x14ac:dyDescent="0.25">
      <c r="A15" s="143" t="s">
        <v>1807</v>
      </c>
      <c r="B15" s="547" t="s">
        <v>1210</v>
      </c>
      <c r="C15" s="601" t="s">
        <v>3010</v>
      </c>
      <c r="D15" s="532" t="s">
        <v>48</v>
      </c>
      <c r="E15" s="90">
        <v>3721.541737</v>
      </c>
      <c r="F15" s="90">
        <v>1585.5025009999999</v>
      </c>
      <c r="G15" s="477">
        <v>0</v>
      </c>
      <c r="H15" s="90">
        <f>IF(OR(E15="NA",F15="NA"),"NA",IF(AND(E15="",F15=""),"",SUM(E15:G15)))</f>
        <v>5307.0442380000004</v>
      </c>
      <c r="I15" s="90">
        <v>0.21430399999999999</v>
      </c>
      <c r="J15" s="90">
        <v>247.863204</v>
      </c>
      <c r="K15" s="90">
        <v>392.602283</v>
      </c>
      <c r="L15" s="477">
        <v>0</v>
      </c>
      <c r="M15" s="90">
        <f t="shared" si="6"/>
        <v>5947.7240290000009</v>
      </c>
      <c r="N15" s="90">
        <f>H15+I15</f>
        <v>5307.2585420000005</v>
      </c>
      <c r="O15" s="546"/>
      <c r="P15" s="178">
        <f t="shared" si="1"/>
        <v>0</v>
      </c>
      <c r="Q15" s="179">
        <f t="shared" si="2"/>
        <v>0</v>
      </c>
    </row>
    <row r="16" spans="1:17" ht="12" customHeight="1" x14ac:dyDescent="0.25">
      <c r="A16" s="143" t="s">
        <v>1808</v>
      </c>
      <c r="B16" s="547" t="s">
        <v>1211</v>
      </c>
      <c r="C16" s="601" t="s">
        <v>3011</v>
      </c>
      <c r="D16" s="532" t="s">
        <v>48</v>
      </c>
      <c r="E16" s="90">
        <v>339.84681699999999</v>
      </c>
      <c r="F16" s="90">
        <v>91.20196700000001</v>
      </c>
      <c r="G16" s="477">
        <v>0</v>
      </c>
      <c r="H16" s="90">
        <f>IF(OR(E16="NA",F16="NA"),"NA",IF(AND(E16="",F16=""),"",SUM(E16:G16)))</f>
        <v>431.04878400000001</v>
      </c>
      <c r="I16" s="90">
        <v>0</v>
      </c>
      <c r="J16" s="90">
        <v>132.61603599999998</v>
      </c>
      <c r="K16" s="90">
        <v>168.99917000000002</v>
      </c>
      <c r="L16" s="477">
        <v>0</v>
      </c>
      <c r="M16" s="90">
        <f t="shared" si="6"/>
        <v>732.66399000000001</v>
      </c>
      <c r="N16" s="90">
        <f>H16+I16</f>
        <v>431.04878400000001</v>
      </c>
      <c r="O16" s="546"/>
      <c r="P16" s="178">
        <f t="shared" si="1"/>
        <v>0</v>
      </c>
      <c r="Q16" s="179">
        <f t="shared" si="2"/>
        <v>0</v>
      </c>
    </row>
    <row r="17" spans="1:17" ht="12" customHeight="1" x14ac:dyDescent="0.25">
      <c r="A17" s="143" t="s">
        <v>1809</v>
      </c>
      <c r="B17" s="547" t="s">
        <v>1212</v>
      </c>
      <c r="C17" s="601" t="s">
        <v>3012</v>
      </c>
      <c r="D17" s="532" t="s">
        <v>48</v>
      </c>
      <c r="E17" s="90">
        <f t="shared" ref="E17:N17" si="8">IF(OR(E18="NA",E19="NA",E20="NA",E21="NA"),"NA",IF(AND(E18="",E19="",E20="",E21=""),"",SUM(E18:E21)))</f>
        <v>4391.9810610000004</v>
      </c>
      <c r="F17" s="90">
        <f t="shared" si="8"/>
        <v>341.62360900000004</v>
      </c>
      <c r="G17" s="477">
        <v>0</v>
      </c>
      <c r="H17" s="90">
        <f t="shared" si="8"/>
        <v>4733.6046700000006</v>
      </c>
      <c r="I17" s="90">
        <f t="shared" si="8"/>
        <v>41.227486999999996</v>
      </c>
      <c r="J17" s="90">
        <f t="shared" si="8"/>
        <v>2099.0300660000003</v>
      </c>
      <c r="K17" s="90">
        <f t="shared" si="8"/>
        <v>11735.55877</v>
      </c>
      <c r="L17" s="477">
        <v>0</v>
      </c>
      <c r="M17" s="90">
        <f t="shared" si="8"/>
        <v>18609.420993</v>
      </c>
      <c r="N17" s="90">
        <f t="shared" si="8"/>
        <v>4774.8321569999998</v>
      </c>
      <c r="O17" s="546"/>
      <c r="P17" s="178">
        <f t="shared" si="1"/>
        <v>0</v>
      </c>
      <c r="Q17" s="179">
        <f t="shared" si="2"/>
        <v>0</v>
      </c>
    </row>
    <row r="18" spans="1:17" ht="10.35" customHeight="1" x14ac:dyDescent="0.25">
      <c r="A18" s="143" t="s">
        <v>1810</v>
      </c>
      <c r="B18" s="549" t="s">
        <v>1213</v>
      </c>
      <c r="C18" s="602" t="s">
        <v>3013</v>
      </c>
      <c r="D18" s="532" t="s">
        <v>48</v>
      </c>
      <c r="E18" s="89">
        <v>3224.587231</v>
      </c>
      <c r="F18" s="89">
        <v>324.04263500000002</v>
      </c>
      <c r="G18" s="473">
        <v>0</v>
      </c>
      <c r="H18" s="89">
        <f t="shared" ref="H18:H21" si="9">IF(OR(E18="NA",F18="NA"),"NA",IF(AND(E18="",F18=""),"",SUM(E18:G18)))</f>
        <v>3548.6298660000002</v>
      </c>
      <c r="I18" s="89">
        <v>38.389127999999999</v>
      </c>
      <c r="J18" s="89">
        <v>2045.7448670000001</v>
      </c>
      <c r="K18" s="89">
        <v>11559.146019</v>
      </c>
      <c r="L18" s="473">
        <v>0</v>
      </c>
      <c r="M18" s="89">
        <f t="shared" ref="M18:M21" si="10">IF(OR(H18="NA",I18="NA",J18="NA",K18="NA"),"NA",IF(AND(H18="",I18="",J18="",K18=""),"",SUM(H18:L18)))</f>
        <v>17191.909879999999</v>
      </c>
      <c r="N18" s="89">
        <f>H18+I18</f>
        <v>3587.018994</v>
      </c>
      <c r="O18" s="546"/>
      <c r="P18" s="178">
        <f t="shared" si="1"/>
        <v>0</v>
      </c>
      <c r="Q18" s="179">
        <f t="shared" si="2"/>
        <v>0</v>
      </c>
    </row>
    <row r="19" spans="1:17" ht="10.35" customHeight="1" x14ac:dyDescent="0.25">
      <c r="A19" s="143" t="s">
        <v>1811</v>
      </c>
      <c r="B19" s="549" t="s">
        <v>1214</v>
      </c>
      <c r="C19" s="602" t="s">
        <v>3014</v>
      </c>
      <c r="D19" s="532" t="s">
        <v>48</v>
      </c>
      <c r="E19" s="89">
        <v>0</v>
      </c>
      <c r="F19" s="89">
        <v>0</v>
      </c>
      <c r="G19" s="473">
        <v>0</v>
      </c>
      <c r="H19" s="89">
        <f t="shared" si="9"/>
        <v>0</v>
      </c>
      <c r="I19" s="89">
        <v>0</v>
      </c>
      <c r="J19" s="89">
        <v>0</v>
      </c>
      <c r="K19" s="89">
        <v>0</v>
      </c>
      <c r="L19" s="473">
        <v>0</v>
      </c>
      <c r="M19" s="89">
        <f t="shared" si="10"/>
        <v>0</v>
      </c>
      <c r="N19" s="89">
        <f t="shared" ref="N19:N21" si="11">H19+I19</f>
        <v>0</v>
      </c>
      <c r="O19" s="546"/>
      <c r="P19" s="178">
        <f t="shared" si="1"/>
        <v>0</v>
      </c>
      <c r="Q19" s="179">
        <f t="shared" si="2"/>
        <v>0</v>
      </c>
    </row>
    <row r="20" spans="1:17" ht="10.35" customHeight="1" x14ac:dyDescent="0.25">
      <c r="A20" s="143" t="s">
        <v>1812</v>
      </c>
      <c r="B20" s="549" t="s">
        <v>1215</v>
      </c>
      <c r="C20" s="602" t="s">
        <v>3015</v>
      </c>
      <c r="D20" s="532" t="s">
        <v>48</v>
      </c>
      <c r="E20" s="89">
        <v>0</v>
      </c>
      <c r="F20" s="89">
        <v>0</v>
      </c>
      <c r="G20" s="473">
        <v>0</v>
      </c>
      <c r="H20" s="89">
        <f t="shared" si="9"/>
        <v>0</v>
      </c>
      <c r="I20" s="89">
        <v>0</v>
      </c>
      <c r="J20" s="89">
        <v>0</v>
      </c>
      <c r="K20" s="89">
        <v>-0.15318799999999999</v>
      </c>
      <c r="L20" s="473">
        <v>0</v>
      </c>
      <c r="M20" s="89">
        <f t="shared" si="10"/>
        <v>-0.15318799999999999</v>
      </c>
      <c r="N20" s="89">
        <f t="shared" si="11"/>
        <v>0</v>
      </c>
      <c r="O20" s="546"/>
      <c r="P20" s="178">
        <f t="shared" si="1"/>
        <v>0</v>
      </c>
      <c r="Q20" s="179">
        <f t="shared" si="2"/>
        <v>0</v>
      </c>
    </row>
    <row r="21" spans="1:17" ht="10.35" customHeight="1" x14ac:dyDescent="0.25">
      <c r="A21" s="143" t="s">
        <v>1813</v>
      </c>
      <c r="B21" s="549" t="s">
        <v>1216</v>
      </c>
      <c r="C21" s="602" t="s">
        <v>3016</v>
      </c>
      <c r="D21" s="532" t="s">
        <v>48</v>
      </c>
      <c r="E21" s="89">
        <v>1167.39383</v>
      </c>
      <c r="F21" s="89">
        <v>17.580974000000001</v>
      </c>
      <c r="G21" s="473">
        <v>0</v>
      </c>
      <c r="H21" s="89">
        <f t="shared" si="9"/>
        <v>1184.9748039999999</v>
      </c>
      <c r="I21" s="89">
        <v>2.8383590000000001</v>
      </c>
      <c r="J21" s="89">
        <v>53.285198999999999</v>
      </c>
      <c r="K21" s="89">
        <v>176.56593899999999</v>
      </c>
      <c r="L21" s="473">
        <v>0</v>
      </c>
      <c r="M21" s="89">
        <f t="shared" si="10"/>
        <v>1417.664301</v>
      </c>
      <c r="N21" s="89">
        <f t="shared" si="11"/>
        <v>1187.813163</v>
      </c>
      <c r="O21" s="546"/>
      <c r="P21" s="178">
        <f t="shared" si="1"/>
        <v>0</v>
      </c>
      <c r="Q21" s="179">
        <f t="shared" si="2"/>
        <v>0</v>
      </c>
    </row>
    <row r="22" spans="1:17" ht="15" customHeight="1" x14ac:dyDescent="0.25">
      <c r="A22" s="143" t="s">
        <v>1814</v>
      </c>
      <c r="B22" s="594" t="s">
        <v>1217</v>
      </c>
      <c r="C22" s="595" t="s">
        <v>3152</v>
      </c>
      <c r="D22" s="586" t="s">
        <v>48</v>
      </c>
      <c r="E22" s="145">
        <f>IF(OR(E23="NA",E24="NA",E25="NA",E26="NA",E27="NA",E28="NA",E29="NA"),"NA",IF(AND(E23="",E24="",E25="",E26="",E27="",E28="",E29="",E30=""),"",SUM(E23:E30)))</f>
        <v>218315.59045801201</v>
      </c>
      <c r="F22" s="145">
        <f>IF(OR(F24="NA",F25="NA",F26="NA",F27="NA",F28="NA",F29="NA"),"NA",IF(AND(F24="",F25="",F26="",F27="",F28="",F29="",F30=""),"",SUM(F23:F30)))</f>
        <v>6523.0890589999999</v>
      </c>
      <c r="G22" s="145">
        <f>IF(OR(G24="NA",G25="NA",G26="NA",G27="NA",G28="NA",G29="NA"),"NA",IF(AND(G24="",G25="",G26="",G27="",G28="",G29="",G30=""),"",SUM(G23:G30)))</f>
        <v>-1383.0478985519785</v>
      </c>
      <c r="H22" s="145">
        <f t="shared" ref="H22:N22" si="12">IF(OR(H23="NA",H24="NA",H25="NA",H26="NA",H27="NA",H28="NA",H29="NA"),"NA",IF(AND(H23="",H24="",H25="",H26="",H27="",H28="",H29="",H30=""),"",SUM(H23:H30)))</f>
        <v>223455.63161846</v>
      </c>
      <c r="I22" s="145">
        <f>IF(OR(I24="NA",I25="NA",I26="NA",I27="NA",I28="NA",I29="NA"),"NA",IF(AND(I24="",I25="",I26="",I27="",I28="",I29="",I30=""),"",SUM(I23:I30)))</f>
        <v>18814.034330999999</v>
      </c>
      <c r="J22" s="145">
        <f>IF(OR(J24="NA",J25="NA",J26="NA",J27="NA",J28="NA",J29="NA"),"NA",IF(AND(J24="",J25="",J26="",J27="",J28="",J29="",J30=""),"",SUM(J23:J30)))</f>
        <v>46868.350549365001</v>
      </c>
      <c r="K22" s="145">
        <f>IF(OR(K24="NA",K25="NA",K26="NA",K27="NA",K28="NA",K29="NA"),"NA",IF(AND(K24="",K25="",K26="",K27="",K28="",K29="",K30=""),"",SUM(K23:K30)))</f>
        <v>86138.03522002</v>
      </c>
      <c r="L22" s="145">
        <f>IF(OR(L24="NA",L25="NA",L26="NA",L27="NA",L28="NA",L29="NA"),"NA",IF(AND(L24="",L25="",L26="",L27="",L28="",L29="",L30=""),"",SUM(L23:L30)))</f>
        <v>-10931.572936744</v>
      </c>
      <c r="M22" s="145">
        <f t="shared" si="12"/>
        <v>364344.47878210101</v>
      </c>
      <c r="N22" s="145">
        <f t="shared" si="12"/>
        <v>242269.66594946</v>
      </c>
      <c r="O22" s="546"/>
      <c r="P22" s="237">
        <f t="shared" si="1"/>
        <v>-2.9103830456733704E-11</v>
      </c>
      <c r="Q22" s="238">
        <f t="shared" si="2"/>
        <v>5.8207660913467407E-11</v>
      </c>
    </row>
    <row r="23" spans="1:17" ht="12.2" customHeight="1" x14ac:dyDescent="0.25">
      <c r="A23" s="143" t="s">
        <v>1815</v>
      </c>
      <c r="B23" s="549" t="s">
        <v>150</v>
      </c>
      <c r="C23" s="550" t="s">
        <v>3153</v>
      </c>
      <c r="D23" s="532" t="s">
        <v>48</v>
      </c>
      <c r="E23" s="89">
        <f t="shared" ref="E23:N23" si="13">IF(E41="NA","NA",IF(E41="","",SUM(E41)))</f>
        <v>0</v>
      </c>
      <c r="F23" s="473">
        <v>0</v>
      </c>
      <c r="G23" s="473">
        <v>0</v>
      </c>
      <c r="H23" s="89">
        <f t="shared" si="13"/>
        <v>0</v>
      </c>
      <c r="I23" s="473">
        <v>0</v>
      </c>
      <c r="J23" s="473">
        <v>0</v>
      </c>
      <c r="K23" s="473">
        <v>0</v>
      </c>
      <c r="L23" s="473">
        <v>0</v>
      </c>
      <c r="M23" s="89">
        <f t="shared" si="13"/>
        <v>0</v>
      </c>
      <c r="N23" s="89">
        <f t="shared" si="13"/>
        <v>0</v>
      </c>
      <c r="O23" s="546"/>
      <c r="P23" s="178">
        <f t="shared" si="1"/>
        <v>0</v>
      </c>
      <c r="Q23" s="179">
        <f t="shared" si="2"/>
        <v>0</v>
      </c>
    </row>
    <row r="24" spans="1:17" s="270" customFormat="1" ht="10.35" customHeight="1" x14ac:dyDescent="0.25">
      <c r="A24" s="143" t="s">
        <v>1816</v>
      </c>
      <c r="B24" s="549" t="s">
        <v>1218</v>
      </c>
      <c r="C24" s="550" t="s">
        <v>3154</v>
      </c>
      <c r="D24" s="532" t="s">
        <v>48</v>
      </c>
      <c r="E24" s="89">
        <f t="shared" ref="E24:N24" si="14">IF(OR(E33="NA",E42="NA"),"NA",IF(AND(E33="",E42=""),"",SUM(E33)+SUM(E42)))</f>
        <v>27527.921992000003</v>
      </c>
      <c r="F24" s="89">
        <f t="shared" si="14"/>
        <v>1272.1302880000001</v>
      </c>
      <c r="G24" s="89">
        <v>0</v>
      </c>
      <c r="H24" s="89">
        <f t="shared" si="14"/>
        <v>28800.052280000004</v>
      </c>
      <c r="I24" s="89">
        <f t="shared" si="14"/>
        <v>2198.255294</v>
      </c>
      <c r="J24" s="89">
        <f t="shared" si="14"/>
        <v>9984.5514360000016</v>
      </c>
      <c r="K24" s="89">
        <f t="shared" si="14"/>
        <v>15690.072958000001</v>
      </c>
      <c r="L24" s="89">
        <v>-37.186506000001827</v>
      </c>
      <c r="M24" s="89">
        <f t="shared" si="14"/>
        <v>56635.745461999999</v>
      </c>
      <c r="N24" s="89">
        <f t="shared" si="14"/>
        <v>30998.307573999999</v>
      </c>
      <c r="O24" s="546"/>
      <c r="P24" s="178">
        <f t="shared" si="1"/>
        <v>0</v>
      </c>
      <c r="Q24" s="179">
        <f t="shared" si="2"/>
        <v>-7.2759576141834259E-12</v>
      </c>
    </row>
    <row r="25" spans="1:17" s="270" customFormat="1" ht="10.35" customHeight="1" x14ac:dyDescent="0.25">
      <c r="A25" s="143" t="s">
        <v>1817</v>
      </c>
      <c r="B25" s="549" t="s">
        <v>1219</v>
      </c>
      <c r="C25" s="550" t="s">
        <v>3155</v>
      </c>
      <c r="D25" s="532" t="s">
        <v>48</v>
      </c>
      <c r="E25" s="89">
        <f t="shared" ref="E25:N29" si="15">IF(OR(E34="NA",E43="NA"),"NA",IF(AND(E34="",E43=""),"",SUM(E34)+SUM(E43)))</f>
        <v>18441.979897000001</v>
      </c>
      <c r="F25" s="89">
        <f t="shared" si="15"/>
        <v>2297.7550800000004</v>
      </c>
      <c r="G25" s="89">
        <v>-575.60324499999842</v>
      </c>
      <c r="H25" s="89">
        <f t="shared" si="15"/>
        <v>20164.131732000002</v>
      </c>
      <c r="I25" s="89">
        <f t="shared" si="15"/>
        <v>0.90951599999999999</v>
      </c>
      <c r="J25" s="89">
        <f t="shared" si="15"/>
        <v>1933.5001219999999</v>
      </c>
      <c r="K25" s="89">
        <f t="shared" si="15"/>
        <v>3693.4567790000001</v>
      </c>
      <c r="L25" s="89">
        <v>-504.33624899999995</v>
      </c>
      <c r="M25" s="89">
        <f t="shared" si="15"/>
        <v>25287.661900000003</v>
      </c>
      <c r="N25" s="89">
        <f t="shared" si="15"/>
        <v>20165.041248000001</v>
      </c>
      <c r="O25" s="546"/>
      <c r="P25" s="178">
        <f t="shared" si="1"/>
        <v>0</v>
      </c>
      <c r="Q25" s="179">
        <f t="shared" si="2"/>
        <v>0</v>
      </c>
    </row>
    <row r="26" spans="1:17" s="270" customFormat="1" ht="10.35" customHeight="1" x14ac:dyDescent="0.25">
      <c r="A26" s="143" t="s">
        <v>1818</v>
      </c>
      <c r="B26" s="549" t="s">
        <v>1220</v>
      </c>
      <c r="C26" s="550" t="s">
        <v>3156</v>
      </c>
      <c r="D26" s="532" t="s">
        <v>48</v>
      </c>
      <c r="E26" s="89">
        <f t="shared" si="15"/>
        <v>16280.058805999999</v>
      </c>
      <c r="F26" s="89">
        <f t="shared" si="15"/>
        <v>24.531133000000001</v>
      </c>
      <c r="G26" s="89">
        <v>-0.53329499999927066</v>
      </c>
      <c r="H26" s="89">
        <f t="shared" si="15"/>
        <v>16304.056644</v>
      </c>
      <c r="I26" s="89">
        <f t="shared" si="15"/>
        <v>18.816261000000001</v>
      </c>
      <c r="J26" s="89">
        <f t="shared" si="15"/>
        <v>483.78303299999999</v>
      </c>
      <c r="K26" s="89">
        <f t="shared" si="15"/>
        <v>716.25700600000005</v>
      </c>
      <c r="L26" s="89">
        <v>-233.24804999999833</v>
      </c>
      <c r="M26" s="89">
        <f t="shared" si="15"/>
        <v>17289.664894000001</v>
      </c>
      <c r="N26" s="89">
        <f t="shared" si="15"/>
        <v>16322.872905</v>
      </c>
      <c r="O26" s="546"/>
      <c r="P26" s="178">
        <f t="shared" si="1"/>
        <v>0</v>
      </c>
      <c r="Q26" s="179">
        <f t="shared" si="2"/>
        <v>0</v>
      </c>
    </row>
    <row r="27" spans="1:17" s="270" customFormat="1" ht="10.35" customHeight="1" x14ac:dyDescent="0.25">
      <c r="A27" s="143" t="s">
        <v>1819</v>
      </c>
      <c r="B27" s="549" t="s">
        <v>1221</v>
      </c>
      <c r="C27" s="550" t="s">
        <v>3157</v>
      </c>
      <c r="D27" s="532" t="s">
        <v>48</v>
      </c>
      <c r="E27" s="89">
        <f t="shared" si="15"/>
        <v>62274.614752011999</v>
      </c>
      <c r="F27" s="89">
        <f t="shared" si="15"/>
        <v>592.09387300000003</v>
      </c>
      <c r="G27" s="89">
        <v>-21.31602955199196</v>
      </c>
      <c r="H27" s="89">
        <f t="shared" si="15"/>
        <v>62845.392595460005</v>
      </c>
      <c r="I27" s="89">
        <f t="shared" si="15"/>
        <v>203.861481</v>
      </c>
      <c r="J27" s="89">
        <f t="shared" si="15"/>
        <v>1323.0626423650001</v>
      </c>
      <c r="K27" s="89">
        <f t="shared" si="15"/>
        <v>13160.049532020001</v>
      </c>
      <c r="L27" s="89">
        <v>-16.151451744008227</v>
      </c>
      <c r="M27" s="89">
        <f t="shared" si="15"/>
        <v>77516.214799100999</v>
      </c>
      <c r="N27" s="89">
        <f t="shared" si="15"/>
        <v>63049.254076460005</v>
      </c>
      <c r="O27" s="546"/>
      <c r="P27" s="178">
        <f t="shared" si="1"/>
        <v>0</v>
      </c>
      <c r="Q27" s="179">
        <f t="shared" si="2"/>
        <v>0</v>
      </c>
    </row>
    <row r="28" spans="1:17" s="270" customFormat="1" ht="10.35" customHeight="1" x14ac:dyDescent="0.25">
      <c r="A28" s="143" t="s">
        <v>1820</v>
      </c>
      <c r="B28" s="549" t="s">
        <v>1222</v>
      </c>
      <c r="C28" s="550" t="s">
        <v>3158</v>
      </c>
      <c r="D28" s="532" t="s">
        <v>48</v>
      </c>
      <c r="E28" s="89">
        <f t="shared" si="15"/>
        <v>79.913103000000007</v>
      </c>
      <c r="F28" s="89">
        <f t="shared" si="15"/>
        <v>3.994885</v>
      </c>
      <c r="G28" s="89">
        <v>0</v>
      </c>
      <c r="H28" s="89">
        <f t="shared" si="15"/>
        <v>83.907988000000003</v>
      </c>
      <c r="I28" s="89">
        <f t="shared" si="15"/>
        <v>0.23491899999999999</v>
      </c>
      <c r="J28" s="89">
        <f t="shared" si="15"/>
        <v>12.745983000000001</v>
      </c>
      <c r="K28" s="89">
        <f t="shared" si="15"/>
        <v>50.988351999999999</v>
      </c>
      <c r="L28" s="89">
        <v>0</v>
      </c>
      <c r="M28" s="89">
        <f t="shared" si="15"/>
        <v>147.877242</v>
      </c>
      <c r="N28" s="89">
        <f t="shared" si="15"/>
        <v>84.142907000000008</v>
      </c>
      <c r="O28" s="546"/>
      <c r="P28" s="178">
        <f t="shared" si="1"/>
        <v>0</v>
      </c>
      <c r="Q28" s="179">
        <f t="shared" si="2"/>
        <v>0</v>
      </c>
    </row>
    <row r="29" spans="1:17" s="270" customFormat="1" ht="10.35" customHeight="1" x14ac:dyDescent="0.25">
      <c r="A29" s="143" t="s">
        <v>1821</v>
      </c>
      <c r="B29" s="549" t="s">
        <v>1223</v>
      </c>
      <c r="C29" s="550" t="s">
        <v>3159</v>
      </c>
      <c r="D29" s="532" t="s">
        <v>48</v>
      </c>
      <c r="E29" s="89">
        <f t="shared" si="15"/>
        <v>0</v>
      </c>
      <c r="F29" s="89">
        <f t="shared" si="15"/>
        <v>0</v>
      </c>
      <c r="G29" s="89">
        <v>0</v>
      </c>
      <c r="H29" s="89">
        <f t="shared" si="15"/>
        <v>0</v>
      </c>
      <c r="I29" s="89">
        <f t="shared" si="15"/>
        <v>0</v>
      </c>
      <c r="J29" s="89">
        <f t="shared" si="15"/>
        <v>0</v>
      </c>
      <c r="K29" s="89">
        <f t="shared" si="15"/>
        <v>4.7684999999999998E-2</v>
      </c>
      <c r="L29" s="89">
        <v>0</v>
      </c>
      <c r="M29" s="89">
        <f t="shared" si="15"/>
        <v>4.7684999999999998E-2</v>
      </c>
      <c r="N29" s="89">
        <f t="shared" si="15"/>
        <v>0</v>
      </c>
      <c r="O29" s="546"/>
      <c r="P29" s="178">
        <f t="shared" si="1"/>
        <v>0</v>
      </c>
      <c r="Q29" s="179">
        <f t="shared" si="2"/>
        <v>0</v>
      </c>
    </row>
    <row r="30" spans="1:17" s="270" customFormat="1" ht="10.35" customHeight="1" x14ac:dyDescent="0.25">
      <c r="A30" s="143" t="s">
        <v>1822</v>
      </c>
      <c r="B30" s="549" t="s">
        <v>1224</v>
      </c>
      <c r="C30" s="550" t="s">
        <v>3160</v>
      </c>
      <c r="D30" s="532" t="s">
        <v>48</v>
      </c>
      <c r="E30" s="89">
        <f>IF(AND(E39="",E48=""),"",SUM(E39)+SUM(E48))</f>
        <v>93711.101907999997</v>
      </c>
      <c r="F30" s="89">
        <f t="shared" ref="F30:N30" si="16">IF(AND(F39="",F48=""),"",SUM(F39)+SUM(F48))</f>
        <v>2332.5837999999999</v>
      </c>
      <c r="G30" s="89">
        <v>-785.59532899998885</v>
      </c>
      <c r="H30" s="89">
        <f t="shared" si="16"/>
        <v>95258.090379000001</v>
      </c>
      <c r="I30" s="89">
        <f t="shared" si="16"/>
        <v>16391.956859999998</v>
      </c>
      <c r="J30" s="89">
        <f t="shared" si="16"/>
        <v>33130.707332999998</v>
      </c>
      <c r="K30" s="89">
        <f t="shared" si="16"/>
        <v>52827.162907999998</v>
      </c>
      <c r="L30" s="89">
        <v>-10140.650679999992</v>
      </c>
      <c r="M30" s="89">
        <f t="shared" si="16"/>
        <v>187467.26680000001</v>
      </c>
      <c r="N30" s="89">
        <f t="shared" si="16"/>
        <v>111650.04723900001</v>
      </c>
      <c r="O30" s="546"/>
      <c r="P30" s="178">
        <f t="shared" si="1"/>
        <v>0</v>
      </c>
      <c r="Q30" s="179">
        <f t="shared" si="2"/>
        <v>0</v>
      </c>
    </row>
    <row r="31" spans="1:17" ht="15" customHeight="1" x14ac:dyDescent="0.25">
      <c r="A31" s="143" t="s">
        <v>1823</v>
      </c>
      <c r="B31" s="547" t="s">
        <v>1225</v>
      </c>
      <c r="C31" s="601" t="s">
        <v>3026</v>
      </c>
      <c r="D31" s="532" t="s">
        <v>48</v>
      </c>
      <c r="E31" s="89">
        <f t="shared" ref="E31:N31" si="17">IF(OR(E33="NA",E34="NA",E35="NA",E36="NA",E37="NA",E38="NA",),"NA",IF(AND(E33="",E34="",E35="",E36="",E37="",E38="",E39=""),"",SUM(E33:E39)))</f>
        <v>208425.980466012</v>
      </c>
      <c r="F31" s="89">
        <f t="shared" si="17"/>
        <v>6357.3308269999998</v>
      </c>
      <c r="G31" s="488">
        <f>IF(+G22="","",+G22)</f>
        <v>-1383.0478985519785</v>
      </c>
      <c r="H31" s="89">
        <f t="shared" si="17"/>
        <v>213400.26339446002</v>
      </c>
      <c r="I31" s="89">
        <f t="shared" si="17"/>
        <v>18814.034330999999</v>
      </c>
      <c r="J31" s="89">
        <f t="shared" si="17"/>
        <v>46867.756114364995</v>
      </c>
      <c r="K31" s="89">
        <f t="shared" si="17"/>
        <v>86137.258016020001</v>
      </c>
      <c r="L31" s="488">
        <f>IF(+L22="","",+L22)</f>
        <v>-10931.572936744</v>
      </c>
      <c r="M31" s="89">
        <f t="shared" si="17"/>
        <v>354287.73891910102</v>
      </c>
      <c r="N31" s="89">
        <f t="shared" si="17"/>
        <v>232214.29772546</v>
      </c>
      <c r="O31" s="546"/>
      <c r="P31" s="178">
        <f t="shared" si="1"/>
        <v>0</v>
      </c>
      <c r="Q31" s="179">
        <f t="shared" si="2"/>
        <v>0</v>
      </c>
    </row>
    <row r="32" spans="1:17" s="271" customFormat="1" ht="10.35" customHeight="1" x14ac:dyDescent="0.25">
      <c r="A32" s="143"/>
      <c r="B32" s="549" t="s">
        <v>1226</v>
      </c>
      <c r="C32" s="602" t="s">
        <v>3027</v>
      </c>
      <c r="D32" s="532" t="s">
        <v>48</v>
      </c>
      <c r="E32" s="473">
        <v>0</v>
      </c>
      <c r="F32" s="473">
        <v>0</v>
      </c>
      <c r="G32" s="747">
        <v>0</v>
      </c>
      <c r="H32" s="473">
        <v>0</v>
      </c>
      <c r="I32" s="473">
        <v>0</v>
      </c>
      <c r="J32" s="473">
        <v>0</v>
      </c>
      <c r="K32" s="473">
        <v>0</v>
      </c>
      <c r="L32" s="747">
        <v>0</v>
      </c>
      <c r="M32" s="473">
        <v>0</v>
      </c>
      <c r="N32" s="473">
        <v>0</v>
      </c>
      <c r="O32" s="546"/>
      <c r="P32" s="178">
        <f t="shared" si="1"/>
        <v>0</v>
      </c>
      <c r="Q32" s="179">
        <f t="shared" si="2"/>
        <v>0</v>
      </c>
    </row>
    <row r="33" spans="1:17" ht="10.35" customHeight="1" x14ac:dyDescent="0.25">
      <c r="A33" s="143" t="s">
        <v>1824</v>
      </c>
      <c r="B33" s="549" t="s">
        <v>1227</v>
      </c>
      <c r="C33" s="602" t="s">
        <v>3028</v>
      </c>
      <c r="D33" s="532" t="s">
        <v>48</v>
      </c>
      <c r="E33" s="92">
        <v>22142.638513000002</v>
      </c>
      <c r="F33" s="92">
        <v>1270.9598960000001</v>
      </c>
      <c r="G33" s="475">
        <f>IF(+G24="","",+G24)</f>
        <v>0</v>
      </c>
      <c r="H33" s="89">
        <f t="shared" ref="H33:H39" si="18">IF(OR(E33="NA",F33="NA",G33="NA"),"NA",IF(AND(E33="",F33="",G33=""),"",SUM(E33:G33)))</f>
        <v>23413.598409000002</v>
      </c>
      <c r="I33" s="92">
        <v>2198.255294</v>
      </c>
      <c r="J33" s="92">
        <v>9983.9570010000007</v>
      </c>
      <c r="K33" s="89">
        <v>15689.295754000001</v>
      </c>
      <c r="L33" s="475">
        <f>IF(+L24="","",+L24)</f>
        <v>-37.186506000001827</v>
      </c>
      <c r="M33" s="89">
        <f t="shared" ref="M33:M39" si="19">IF(OR(H33="NA",I33="NA",J33="NA",K33="NA",L33="NA"),"NA",IF(AND(H33="",I33="",J33="",K33="",L33=""),"",SUM(H33:L33)))</f>
        <v>51247.919951999997</v>
      </c>
      <c r="N33" s="89">
        <f>H33+I33</f>
        <v>25611.853703000001</v>
      </c>
      <c r="O33" s="546"/>
      <c r="P33" s="178">
        <f t="shared" si="1"/>
        <v>0</v>
      </c>
      <c r="Q33" s="179">
        <f t="shared" si="2"/>
        <v>0</v>
      </c>
    </row>
    <row r="34" spans="1:17" ht="10.35" customHeight="1" x14ac:dyDescent="0.25">
      <c r="A34" s="143" t="s">
        <v>1825</v>
      </c>
      <c r="B34" s="549" t="s">
        <v>1228</v>
      </c>
      <c r="C34" s="602" t="s">
        <v>3029</v>
      </c>
      <c r="D34" s="532" t="s">
        <v>48</v>
      </c>
      <c r="E34" s="92">
        <v>18002.584249</v>
      </c>
      <c r="F34" s="92">
        <v>2133.1672400000002</v>
      </c>
      <c r="G34" s="475">
        <f t="shared" ref="G34:G39" si="20">IF(+G25="","",+G25)</f>
        <v>-575.60324499999842</v>
      </c>
      <c r="H34" s="89">
        <f t="shared" si="18"/>
        <v>19560.148244</v>
      </c>
      <c r="I34" s="92">
        <v>0.90951599999999999</v>
      </c>
      <c r="J34" s="92">
        <v>1933.5001219999999</v>
      </c>
      <c r="K34" s="89">
        <v>3693.4567790000001</v>
      </c>
      <c r="L34" s="475">
        <f t="shared" ref="L34:L39" si="21">IF(+L25="","",+L25)</f>
        <v>-504.33624899999995</v>
      </c>
      <c r="M34" s="89">
        <f t="shared" si="19"/>
        <v>24683.678412000001</v>
      </c>
      <c r="N34" s="89">
        <f t="shared" ref="N34:N39" si="22">H34+I34</f>
        <v>19561.05776</v>
      </c>
      <c r="O34" s="546"/>
      <c r="P34" s="178">
        <f t="shared" si="1"/>
        <v>0</v>
      </c>
      <c r="Q34" s="179">
        <f t="shared" si="2"/>
        <v>0</v>
      </c>
    </row>
    <row r="35" spans="1:17" ht="10.35" customHeight="1" x14ac:dyDescent="0.25">
      <c r="A35" s="143" t="s">
        <v>1826</v>
      </c>
      <c r="B35" s="549" t="s">
        <v>1229</v>
      </c>
      <c r="C35" s="602" t="s">
        <v>3030</v>
      </c>
      <c r="D35" s="532" t="s">
        <v>48</v>
      </c>
      <c r="E35" s="92">
        <v>16280.058805999999</v>
      </c>
      <c r="F35" s="92">
        <v>24.531133000000001</v>
      </c>
      <c r="G35" s="475">
        <f t="shared" si="20"/>
        <v>-0.53329499999927066</v>
      </c>
      <c r="H35" s="89">
        <f t="shared" si="18"/>
        <v>16304.056644</v>
      </c>
      <c r="I35" s="92">
        <v>18.816261000000001</v>
      </c>
      <c r="J35" s="92">
        <v>483.78303299999999</v>
      </c>
      <c r="K35" s="89">
        <v>716.25700600000005</v>
      </c>
      <c r="L35" s="475">
        <f t="shared" si="21"/>
        <v>-233.24804999999833</v>
      </c>
      <c r="M35" s="89">
        <f t="shared" si="19"/>
        <v>17289.664894000001</v>
      </c>
      <c r="N35" s="89">
        <f t="shared" si="22"/>
        <v>16322.872905</v>
      </c>
      <c r="O35" s="546"/>
      <c r="P35" s="178">
        <f t="shared" si="1"/>
        <v>0</v>
      </c>
      <c r="Q35" s="179">
        <f t="shared" si="2"/>
        <v>0</v>
      </c>
    </row>
    <row r="36" spans="1:17" ht="10.35" customHeight="1" x14ac:dyDescent="0.25">
      <c r="A36" s="143" t="s">
        <v>1827</v>
      </c>
      <c r="B36" s="549" t="s">
        <v>1230</v>
      </c>
      <c r="C36" s="602" t="s">
        <v>3031</v>
      </c>
      <c r="D36" s="532" t="s">
        <v>48</v>
      </c>
      <c r="E36" s="92">
        <v>58209.683887011997</v>
      </c>
      <c r="F36" s="92">
        <v>592.09387300000003</v>
      </c>
      <c r="G36" s="475">
        <f t="shared" si="20"/>
        <v>-21.31602955199196</v>
      </c>
      <c r="H36" s="89">
        <f t="shared" si="18"/>
        <v>58780.461730460003</v>
      </c>
      <c r="I36" s="92">
        <v>203.861481</v>
      </c>
      <c r="J36" s="92">
        <v>1323.0626423650001</v>
      </c>
      <c r="K36" s="89">
        <v>13160.049532020001</v>
      </c>
      <c r="L36" s="475">
        <f t="shared" si="21"/>
        <v>-16.151451744008227</v>
      </c>
      <c r="M36" s="89">
        <f t="shared" si="19"/>
        <v>73451.283934100997</v>
      </c>
      <c r="N36" s="89">
        <f t="shared" si="22"/>
        <v>58984.323211460003</v>
      </c>
      <c r="O36" s="546"/>
      <c r="P36" s="178">
        <f t="shared" si="1"/>
        <v>0</v>
      </c>
      <c r="Q36" s="179">
        <f t="shared" si="2"/>
        <v>0</v>
      </c>
    </row>
    <row r="37" spans="1:17" ht="10.35" customHeight="1" x14ac:dyDescent="0.25">
      <c r="A37" s="143" t="s">
        <v>1828</v>
      </c>
      <c r="B37" s="549" t="s">
        <v>1231</v>
      </c>
      <c r="C37" s="602" t="s">
        <v>3161</v>
      </c>
      <c r="D37" s="532" t="s">
        <v>48</v>
      </c>
      <c r="E37" s="92">
        <v>79.913103000000007</v>
      </c>
      <c r="F37" s="92">
        <v>3.994885</v>
      </c>
      <c r="G37" s="475">
        <f t="shared" si="20"/>
        <v>0</v>
      </c>
      <c r="H37" s="89">
        <f t="shared" si="18"/>
        <v>83.907988000000003</v>
      </c>
      <c r="I37" s="92">
        <v>0.23491899999999999</v>
      </c>
      <c r="J37" s="92">
        <v>12.745983000000001</v>
      </c>
      <c r="K37" s="89">
        <v>50.988351999999999</v>
      </c>
      <c r="L37" s="475">
        <f t="shared" si="21"/>
        <v>0</v>
      </c>
      <c r="M37" s="89">
        <f t="shared" si="19"/>
        <v>147.877242</v>
      </c>
      <c r="N37" s="89">
        <f t="shared" si="22"/>
        <v>84.142907000000008</v>
      </c>
      <c r="O37" s="546"/>
      <c r="P37" s="178">
        <f t="shared" si="1"/>
        <v>0</v>
      </c>
      <c r="Q37" s="179">
        <f t="shared" si="2"/>
        <v>0</v>
      </c>
    </row>
    <row r="38" spans="1:17" ht="10.35" customHeight="1" x14ac:dyDescent="0.25">
      <c r="A38" s="143" t="s">
        <v>1829</v>
      </c>
      <c r="B38" s="549" t="s">
        <v>1232</v>
      </c>
      <c r="C38" s="602" t="s">
        <v>3056</v>
      </c>
      <c r="D38" s="532" t="s">
        <v>48</v>
      </c>
      <c r="E38" s="92">
        <v>0</v>
      </c>
      <c r="F38" s="92">
        <v>0</v>
      </c>
      <c r="G38" s="475">
        <f t="shared" si="20"/>
        <v>0</v>
      </c>
      <c r="H38" s="89">
        <f t="shared" si="18"/>
        <v>0</v>
      </c>
      <c r="I38" s="92">
        <v>0</v>
      </c>
      <c r="J38" s="92">
        <v>0</v>
      </c>
      <c r="K38" s="89">
        <v>4.7684999999999998E-2</v>
      </c>
      <c r="L38" s="475">
        <f t="shared" si="21"/>
        <v>0</v>
      </c>
      <c r="M38" s="89">
        <f t="shared" si="19"/>
        <v>4.7684999999999998E-2</v>
      </c>
      <c r="N38" s="89">
        <f t="shared" si="22"/>
        <v>0</v>
      </c>
      <c r="O38" s="546"/>
      <c r="P38" s="178">
        <f t="shared" si="1"/>
        <v>0</v>
      </c>
      <c r="Q38" s="179">
        <f t="shared" si="2"/>
        <v>0</v>
      </c>
    </row>
    <row r="39" spans="1:17" ht="10.35" customHeight="1" x14ac:dyDescent="0.25">
      <c r="A39" s="143" t="s">
        <v>1830</v>
      </c>
      <c r="B39" s="549" t="s">
        <v>1233</v>
      </c>
      <c r="C39" s="602" t="s">
        <v>3034</v>
      </c>
      <c r="D39" s="532" t="s">
        <v>48</v>
      </c>
      <c r="E39" s="92">
        <v>93711.101907999997</v>
      </c>
      <c r="F39" s="92">
        <v>2332.5837999999999</v>
      </c>
      <c r="G39" s="475">
        <f t="shared" si="20"/>
        <v>-785.59532899998885</v>
      </c>
      <c r="H39" s="89">
        <f t="shared" si="18"/>
        <v>95258.090379000001</v>
      </c>
      <c r="I39" s="92">
        <v>16391.956859999998</v>
      </c>
      <c r="J39" s="92">
        <v>33130.707332999998</v>
      </c>
      <c r="K39" s="89">
        <v>52827.162907999998</v>
      </c>
      <c r="L39" s="475">
        <f t="shared" si="21"/>
        <v>-10140.650679999992</v>
      </c>
      <c r="M39" s="89">
        <f t="shared" si="19"/>
        <v>187467.26680000001</v>
      </c>
      <c r="N39" s="89">
        <f t="shared" si="22"/>
        <v>111650.04723900001</v>
      </c>
      <c r="O39" s="546"/>
      <c r="P39" s="178">
        <f t="shared" si="1"/>
        <v>0</v>
      </c>
      <c r="Q39" s="179">
        <f t="shared" si="2"/>
        <v>0</v>
      </c>
    </row>
    <row r="40" spans="1:17" ht="15" customHeight="1" x14ac:dyDescent="0.25">
      <c r="A40" s="143" t="s">
        <v>1831</v>
      </c>
      <c r="B40" s="547" t="s">
        <v>1234</v>
      </c>
      <c r="C40" s="601" t="s">
        <v>3035</v>
      </c>
      <c r="D40" s="532" t="s">
        <v>48</v>
      </c>
      <c r="E40" s="92">
        <f>IF(OR(E41="NA",E42="NA",E43="NA",E44="NA",E45="NA",E46="NA",E47="NA"),"NA",IF(AND(E41="",E42="",E43="",E44="",E45="",E46="",E47="",E48=""),"",SUM(E41:E48)))</f>
        <v>9889.6099919999997</v>
      </c>
      <c r="F40" s="92">
        <f>IF(OR(F42="NA",F43="NA",F44="NA",F45="NA",F46="NA",F47="NA"),"NA",IF(AND(F42="",F43="",F44="",F45="",F46="",F47="",F48=""),"",SUM(F41:F48)))</f>
        <v>165.75823199999999</v>
      </c>
      <c r="G40" s="477">
        <v>0</v>
      </c>
      <c r="H40" s="89">
        <f>IF(OR(H41="NA",H42="NA",H43="NA",H44="NA",H45="NA",H46="NA",H47="NA"),"NA",IF(AND(H41="",H42="",H43="",H44="",H45="",H46="",H47="",H48=""),"",SUM(H41:H48)))</f>
        <v>10055.368224</v>
      </c>
      <c r="I40" s="89">
        <f t="shared" ref="I40:K40" si="23">IF(OR(I41="NA",I42="NA",I43="NA",I44="NA",I45="NA",I46="NA",I47="NA"),"NA",IF(AND(I41="",I42="",I43="",I44="",I45="",I46="",I47="",I48=""),"",SUM(I41:I48)))</f>
        <v>0</v>
      </c>
      <c r="J40" s="89">
        <f t="shared" si="23"/>
        <v>0.59443499999999994</v>
      </c>
      <c r="K40" s="89">
        <f t="shared" si="23"/>
        <v>0.77720400000000001</v>
      </c>
      <c r="L40" s="477">
        <v>0</v>
      </c>
      <c r="M40" s="89">
        <f>IF(OR(M41="NA",M42="NA",M43="NA",M44="NA",M45="NA",M46="NA",M47="NA"),"NA",IF(AND(M41="",M42="",M43="",M44="",M45="",M46="",M47="",M48=""),"",SUM(M41:M48)))</f>
        <v>10056.739862999999</v>
      </c>
      <c r="N40" s="89">
        <f>IF(OR(N41="NA",N42="NA",N43="NA",N44="NA",N45="NA",N46="NA",N47="NA"),"NA",IF(AND(N41="",N42="",N43="",N44="",N45="",N46="",N47="",N48=""),"",SUM(N41:N48)))</f>
        <v>10055.368224</v>
      </c>
      <c r="O40" s="546"/>
      <c r="P40" s="178">
        <f t="shared" ref="P40:P71" si="24">IF(OR(H40="NA",E40="NA",F40="NA",G40="NA"),"NA",SUM(H40)-SUM(E40:G40))</f>
        <v>0</v>
      </c>
      <c r="Q40" s="179">
        <f t="shared" ref="Q40:Q71" si="25">IF(OR(M40="NA",H40="NA",I40="NA",J40="NA",K40="NA",L40="NA"),"NA",SUM(M40)-SUM(H40:L40))</f>
        <v>-1.8189894035458565E-12</v>
      </c>
    </row>
    <row r="41" spans="1:17" ht="10.35" customHeight="1" x14ac:dyDescent="0.25">
      <c r="A41" s="143" t="s">
        <v>1832</v>
      </c>
      <c r="B41" s="549" t="s">
        <v>151</v>
      </c>
      <c r="C41" s="602" t="s">
        <v>3027</v>
      </c>
      <c r="D41" s="532" t="s">
        <v>48</v>
      </c>
      <c r="E41" s="89">
        <v>0</v>
      </c>
      <c r="F41" s="473">
        <v>0</v>
      </c>
      <c r="G41" s="473">
        <v>0</v>
      </c>
      <c r="H41" s="89">
        <f>IF(OR(E41="NA"),"NA",IF(AND(E41=""),"",SUM(E41:G41)))</f>
        <v>0</v>
      </c>
      <c r="I41" s="473">
        <v>0</v>
      </c>
      <c r="J41" s="473">
        <v>0</v>
      </c>
      <c r="K41" s="473">
        <v>0</v>
      </c>
      <c r="L41" s="473">
        <v>0</v>
      </c>
      <c r="M41" s="89">
        <f>IF(OR(H41="NA"),"NA",IF(AND(H41=""),"",SUM(H41:L41)))</f>
        <v>0</v>
      </c>
      <c r="N41" s="89">
        <f>H41+I41</f>
        <v>0</v>
      </c>
      <c r="O41" s="546"/>
      <c r="P41" s="178">
        <f t="shared" si="24"/>
        <v>0</v>
      </c>
      <c r="Q41" s="179">
        <f t="shared" si="25"/>
        <v>0</v>
      </c>
    </row>
    <row r="42" spans="1:17" ht="10.35" customHeight="1" x14ac:dyDescent="0.25">
      <c r="A42" s="143" t="s">
        <v>1833</v>
      </c>
      <c r="B42" s="549" t="s">
        <v>1235</v>
      </c>
      <c r="C42" s="602" t="s">
        <v>3028</v>
      </c>
      <c r="D42" s="532" t="s">
        <v>48</v>
      </c>
      <c r="E42" s="92">
        <v>5385.2834789999997</v>
      </c>
      <c r="F42" s="92">
        <v>1.1703920000000001</v>
      </c>
      <c r="G42" s="473">
        <v>0</v>
      </c>
      <c r="H42" s="89">
        <f t="shared" ref="H42:H48" si="26">IF(OR(E42="NA",F42="NA"),"NA",IF(AND(E42="",F42=""),"",SUM(E42:G42)))</f>
        <v>5386.4538709999997</v>
      </c>
      <c r="I42" s="92">
        <v>0</v>
      </c>
      <c r="J42" s="92">
        <v>0.59443499999999994</v>
      </c>
      <c r="K42" s="93">
        <v>0.77720400000000001</v>
      </c>
      <c r="L42" s="473">
        <v>0</v>
      </c>
      <c r="M42" s="89">
        <f t="shared" ref="M42:M48" si="27">IF(OR(H42="NA",I42="NA",J42="NA",K42="NA"),"NA",IF(AND(H42="",I42="",J42="",K42=""),"",SUM(H42:L42)))</f>
        <v>5387.8255099999997</v>
      </c>
      <c r="N42" s="89">
        <f t="shared" ref="N42:N48" si="28">H42+I42</f>
        <v>5386.4538709999997</v>
      </c>
      <c r="O42" s="546"/>
      <c r="P42" s="178">
        <f t="shared" si="24"/>
        <v>0</v>
      </c>
      <c r="Q42" s="179">
        <f t="shared" si="25"/>
        <v>0</v>
      </c>
    </row>
    <row r="43" spans="1:17" ht="10.35" customHeight="1" x14ac:dyDescent="0.25">
      <c r="A43" s="143" t="s">
        <v>1834</v>
      </c>
      <c r="B43" s="549" t="s">
        <v>1236</v>
      </c>
      <c r="C43" s="602" t="s">
        <v>3036</v>
      </c>
      <c r="D43" s="532" t="s">
        <v>48</v>
      </c>
      <c r="E43" s="92">
        <v>439.39564799999999</v>
      </c>
      <c r="F43" s="92">
        <v>164.58784</v>
      </c>
      <c r="G43" s="473">
        <v>0</v>
      </c>
      <c r="H43" s="89">
        <f t="shared" si="26"/>
        <v>603.98348799999997</v>
      </c>
      <c r="I43" s="92">
        <v>0</v>
      </c>
      <c r="J43" s="92">
        <v>0</v>
      </c>
      <c r="K43" s="93">
        <v>0</v>
      </c>
      <c r="L43" s="473">
        <v>0</v>
      </c>
      <c r="M43" s="89">
        <f t="shared" si="27"/>
        <v>603.98348799999997</v>
      </c>
      <c r="N43" s="89">
        <f t="shared" si="28"/>
        <v>603.98348799999997</v>
      </c>
      <c r="O43" s="546"/>
      <c r="P43" s="178">
        <f t="shared" si="24"/>
        <v>0</v>
      </c>
      <c r="Q43" s="179">
        <f t="shared" si="25"/>
        <v>0</v>
      </c>
    </row>
    <row r="44" spans="1:17" ht="10.35" customHeight="1" x14ac:dyDescent="0.25">
      <c r="A44" s="143" t="s">
        <v>1835</v>
      </c>
      <c r="B44" s="549" t="s">
        <v>1237</v>
      </c>
      <c r="C44" s="602" t="s">
        <v>3037</v>
      </c>
      <c r="D44" s="532" t="s">
        <v>48</v>
      </c>
      <c r="E44" s="92">
        <v>0</v>
      </c>
      <c r="F44" s="92">
        <v>0</v>
      </c>
      <c r="G44" s="473">
        <v>0</v>
      </c>
      <c r="H44" s="89">
        <f t="shared" si="26"/>
        <v>0</v>
      </c>
      <c r="I44" s="92">
        <v>0</v>
      </c>
      <c r="J44" s="92">
        <v>0</v>
      </c>
      <c r="K44" s="93">
        <v>0</v>
      </c>
      <c r="L44" s="473">
        <v>0</v>
      </c>
      <c r="M44" s="89">
        <f t="shared" si="27"/>
        <v>0</v>
      </c>
      <c r="N44" s="89">
        <f t="shared" si="28"/>
        <v>0</v>
      </c>
      <c r="O44" s="546"/>
      <c r="P44" s="178">
        <f t="shared" si="24"/>
        <v>0</v>
      </c>
      <c r="Q44" s="179">
        <f t="shared" si="25"/>
        <v>0</v>
      </c>
    </row>
    <row r="45" spans="1:17" ht="10.35" customHeight="1" x14ac:dyDescent="0.25">
      <c r="A45" s="143" t="s">
        <v>1836</v>
      </c>
      <c r="B45" s="549" t="s">
        <v>1238</v>
      </c>
      <c r="C45" s="602" t="s">
        <v>3031</v>
      </c>
      <c r="D45" s="532" t="s">
        <v>48</v>
      </c>
      <c r="E45" s="92">
        <v>4064.9308649999998</v>
      </c>
      <c r="F45" s="92">
        <v>0</v>
      </c>
      <c r="G45" s="473">
        <v>0</v>
      </c>
      <c r="H45" s="89">
        <f t="shared" si="26"/>
        <v>4064.9308649999998</v>
      </c>
      <c r="I45" s="92">
        <v>0</v>
      </c>
      <c r="J45" s="92">
        <v>0</v>
      </c>
      <c r="K45" s="93">
        <v>0</v>
      </c>
      <c r="L45" s="473">
        <v>0</v>
      </c>
      <c r="M45" s="89">
        <f t="shared" si="27"/>
        <v>4064.9308649999998</v>
      </c>
      <c r="N45" s="89">
        <f t="shared" si="28"/>
        <v>4064.9308649999998</v>
      </c>
      <c r="O45" s="546"/>
      <c r="P45" s="178">
        <f t="shared" si="24"/>
        <v>0</v>
      </c>
      <c r="Q45" s="179">
        <f t="shared" si="25"/>
        <v>0</v>
      </c>
    </row>
    <row r="46" spans="1:17" ht="10.35" customHeight="1" x14ac:dyDescent="0.25">
      <c r="A46" s="143" t="s">
        <v>1837</v>
      </c>
      <c r="B46" s="549" t="s">
        <v>1239</v>
      </c>
      <c r="C46" s="602" t="s">
        <v>3162</v>
      </c>
      <c r="D46" s="532" t="s">
        <v>48</v>
      </c>
      <c r="E46" s="92">
        <v>0</v>
      </c>
      <c r="F46" s="92">
        <v>0</v>
      </c>
      <c r="G46" s="473">
        <v>0</v>
      </c>
      <c r="H46" s="89">
        <f t="shared" si="26"/>
        <v>0</v>
      </c>
      <c r="I46" s="92">
        <v>0</v>
      </c>
      <c r="J46" s="92">
        <v>0</v>
      </c>
      <c r="K46" s="93">
        <v>0</v>
      </c>
      <c r="L46" s="473">
        <v>0</v>
      </c>
      <c r="M46" s="89">
        <f t="shared" si="27"/>
        <v>0</v>
      </c>
      <c r="N46" s="89">
        <f t="shared" si="28"/>
        <v>0</v>
      </c>
      <c r="O46" s="546"/>
      <c r="P46" s="178">
        <f t="shared" si="24"/>
        <v>0</v>
      </c>
      <c r="Q46" s="179">
        <f t="shared" si="25"/>
        <v>0</v>
      </c>
    </row>
    <row r="47" spans="1:17" ht="10.35" customHeight="1" x14ac:dyDescent="0.25">
      <c r="A47" s="143" t="s">
        <v>1838</v>
      </c>
      <c r="B47" s="549" t="s">
        <v>1240</v>
      </c>
      <c r="C47" s="602" t="s">
        <v>3039</v>
      </c>
      <c r="D47" s="532" t="s">
        <v>48</v>
      </c>
      <c r="E47" s="92">
        <v>0</v>
      </c>
      <c r="F47" s="92">
        <v>0</v>
      </c>
      <c r="G47" s="473">
        <v>0</v>
      </c>
      <c r="H47" s="89">
        <f t="shared" si="26"/>
        <v>0</v>
      </c>
      <c r="I47" s="92">
        <v>0</v>
      </c>
      <c r="J47" s="92">
        <v>0</v>
      </c>
      <c r="K47" s="93">
        <v>0</v>
      </c>
      <c r="L47" s="473">
        <v>0</v>
      </c>
      <c r="M47" s="89">
        <f t="shared" si="27"/>
        <v>0</v>
      </c>
      <c r="N47" s="89">
        <f t="shared" si="28"/>
        <v>0</v>
      </c>
      <c r="O47" s="546"/>
      <c r="P47" s="178">
        <f t="shared" si="24"/>
        <v>0</v>
      </c>
      <c r="Q47" s="179">
        <f t="shared" si="25"/>
        <v>0</v>
      </c>
    </row>
    <row r="48" spans="1:17" ht="10.35" customHeight="1" x14ac:dyDescent="0.25">
      <c r="A48" s="143" t="s">
        <v>1839</v>
      </c>
      <c r="B48" s="549" t="s">
        <v>1241</v>
      </c>
      <c r="C48" s="602" t="s">
        <v>3040</v>
      </c>
      <c r="D48" s="532" t="s">
        <v>48</v>
      </c>
      <c r="E48" s="92">
        <v>0</v>
      </c>
      <c r="F48" s="92">
        <v>0</v>
      </c>
      <c r="G48" s="474">
        <v>0</v>
      </c>
      <c r="H48" s="89">
        <f t="shared" si="26"/>
        <v>0</v>
      </c>
      <c r="I48" s="92">
        <v>0</v>
      </c>
      <c r="J48" s="92">
        <v>0</v>
      </c>
      <c r="K48" s="93">
        <v>0</v>
      </c>
      <c r="L48" s="474">
        <v>0</v>
      </c>
      <c r="M48" s="89">
        <f t="shared" si="27"/>
        <v>0</v>
      </c>
      <c r="N48" s="89">
        <f t="shared" si="28"/>
        <v>0</v>
      </c>
      <c r="O48" s="546"/>
      <c r="P48" s="178">
        <f t="shared" si="24"/>
        <v>0</v>
      </c>
      <c r="Q48" s="179">
        <f t="shared" si="25"/>
        <v>0</v>
      </c>
    </row>
    <row r="49" spans="1:17" ht="15" customHeight="1" x14ac:dyDescent="0.25">
      <c r="A49" s="143" t="s">
        <v>1840</v>
      </c>
      <c r="B49" s="594" t="s">
        <v>1242</v>
      </c>
      <c r="C49" s="595" t="s">
        <v>3163</v>
      </c>
      <c r="D49" s="586" t="s">
        <v>48</v>
      </c>
      <c r="E49" s="145">
        <f>IF(OR(E50="NA",E51="NA",E52="NA",E53="NA",E54="NA",E55="NA",E61="NA"),"NA",IF(AND(E50="",E51="",E52="",E53="",E54="",E55="",E61="",E62=""),"",SUM(E50:E55)+SUM(E61:E62)))</f>
        <v>590365.76706300001</v>
      </c>
      <c r="F49" s="145">
        <f>IF(OR(F51="NA",F52="NA",F53="NA",F54="NA",F55="NA",F61="NA"),"NA",IF(AND(F51="",F52="",F53="",F54="",F55="",F61="",F62=""),"",SUM(F50:F55)+SUM(F61:F62)))</f>
        <v>2144.6568910000001</v>
      </c>
      <c r="G49" s="145">
        <f>IF(OR(G51="NA",G52="NA",G53="NA",G54="NA",G55="NA",G61="NA"),"NA",IF(AND(G51="",G52="",G53="",G54="",G55="",G61="",G62=""),"",SUM(G50:G55)+SUM(G61:G62)))</f>
        <v>-1458.923713000002</v>
      </c>
      <c r="H49" s="145">
        <f t="shared" ref="H49:N49" si="29">IF(OR(H50="NA",H51="NA",H52="NA",H53="NA",H54="NA",H55="NA",H61="NA"),"NA",IF(AND(H50="",H51="",H52="",H53="",H54="",H55="",H61="",H62=""),"",SUM(H50:H55)+SUM(H61:H62)))</f>
        <v>591051.50024099997</v>
      </c>
      <c r="I49" s="145">
        <f>IF(OR(I51="NA",I52="NA",I53="NA",I54="NA",I55="NA",I61="NA"),"NA",IF(AND(I51="",I52="",I53="",I54="",I55="",I61="",I62=""),"",SUM(I50:I55)+SUM(I61:I62)))</f>
        <v>8303.9416349999992</v>
      </c>
      <c r="J49" s="145">
        <f>IF(OR(J51="NA",J52="NA",J53="NA",J54="NA",J55="NA",J61="NA"),"NA",IF(AND(J51="",J52="",J53="",J54="",J55="",J61="",J62=""),"",SUM(J50:J55)+SUM(J61:J62)))</f>
        <v>20337.165942</v>
      </c>
      <c r="K49" s="145">
        <f>IF(OR(K51="NA",K52="NA",K53="NA",K54="NA",K55="NA",K61="NA"),"NA",IF(AND(K51="",K52="",K53="",K54="",K55="",K61="",K62=""),"",SUM(K50:K55)+SUM(K61:K62)))</f>
        <v>32590.091732000001</v>
      </c>
      <c r="L49" s="145">
        <f>IF(OR(L51="NA",L52="NA",L53="NA",L54="NA",L55="NA",L61="NA"),"NA",IF(AND(L51="",L52="",L53="",L54="",L55="",L61="",L62=""),"",SUM(L50:L55)+SUM(L61:L62)))</f>
        <v>-11046.685869999994</v>
      </c>
      <c r="M49" s="145">
        <f t="shared" si="29"/>
        <v>641236.01367999997</v>
      </c>
      <c r="N49" s="145">
        <f t="shared" si="29"/>
        <v>599355.44187600003</v>
      </c>
      <c r="O49" s="546"/>
      <c r="P49" s="237">
        <f t="shared" si="24"/>
        <v>0</v>
      </c>
      <c r="Q49" s="238">
        <f t="shared" si="25"/>
        <v>0</v>
      </c>
    </row>
    <row r="50" spans="1:17" s="270" customFormat="1" ht="12.2" customHeight="1" x14ac:dyDescent="0.25">
      <c r="A50" s="143" t="s">
        <v>1841</v>
      </c>
      <c r="B50" s="549" t="s">
        <v>1243</v>
      </c>
      <c r="C50" s="550" t="s">
        <v>3164</v>
      </c>
      <c r="D50" s="532" t="s">
        <v>48</v>
      </c>
      <c r="E50" s="89" t="str">
        <f>IF(+E72="","",+E72)</f>
        <v/>
      </c>
      <c r="F50" s="473">
        <v>0</v>
      </c>
      <c r="G50" s="473">
        <v>0</v>
      </c>
      <c r="H50" s="89">
        <f t="shared" ref="H50:N50" si="30">IF(+H72="","",+H72)</f>
        <v>0</v>
      </c>
      <c r="I50" s="473">
        <v>0</v>
      </c>
      <c r="J50" s="473">
        <v>0</v>
      </c>
      <c r="K50" s="473">
        <v>0</v>
      </c>
      <c r="L50" s="473">
        <v>0</v>
      </c>
      <c r="M50" s="89">
        <f t="shared" si="30"/>
        <v>0</v>
      </c>
      <c r="N50" s="89">
        <f t="shared" si="30"/>
        <v>0</v>
      </c>
      <c r="O50" s="546"/>
      <c r="P50" s="178">
        <f t="shared" si="24"/>
        <v>0</v>
      </c>
      <c r="Q50" s="179">
        <f t="shared" si="25"/>
        <v>0</v>
      </c>
    </row>
    <row r="51" spans="1:17" s="270" customFormat="1" ht="10.35" customHeight="1" x14ac:dyDescent="0.25">
      <c r="A51" s="143" t="s">
        <v>1842</v>
      </c>
      <c r="B51" s="549" t="s">
        <v>1244</v>
      </c>
      <c r="C51" s="550" t="s">
        <v>3165</v>
      </c>
      <c r="D51" s="532" t="s">
        <v>48</v>
      </c>
      <c r="E51" s="89">
        <f t="shared" ref="E51:N51" si="31">IF(OR(E64="NA",E73="NA"),"NA",IF(AND(E64="",E73=""),"",SUM(E64)+SUM(E73)))</f>
        <v>0</v>
      </c>
      <c r="F51" s="89">
        <f t="shared" si="31"/>
        <v>0</v>
      </c>
      <c r="G51" s="89">
        <v>-97.191917000000103</v>
      </c>
      <c r="H51" s="89">
        <f t="shared" si="31"/>
        <v>-97.191917000000103</v>
      </c>
      <c r="I51" s="89">
        <f t="shared" si="31"/>
        <v>777.19819099999995</v>
      </c>
      <c r="J51" s="89">
        <f t="shared" si="31"/>
        <v>1103.4389659999999</v>
      </c>
      <c r="K51" s="89">
        <f t="shared" si="31"/>
        <v>1736.230935</v>
      </c>
      <c r="L51" s="89">
        <v>-3839.4718279999997</v>
      </c>
      <c r="M51" s="89">
        <f t="shared" si="31"/>
        <v>-319.79565300000013</v>
      </c>
      <c r="N51" s="89">
        <f t="shared" si="31"/>
        <v>680.00627399999985</v>
      </c>
      <c r="O51" s="546"/>
      <c r="P51" s="178">
        <f t="shared" si="24"/>
        <v>0</v>
      </c>
      <c r="Q51" s="179">
        <f t="shared" si="25"/>
        <v>0</v>
      </c>
    </row>
    <row r="52" spans="1:17" s="270" customFormat="1" ht="10.35" customHeight="1" x14ac:dyDescent="0.25">
      <c r="A52" s="143" t="s">
        <v>1843</v>
      </c>
      <c r="B52" s="549" t="s">
        <v>1245</v>
      </c>
      <c r="C52" s="550" t="s">
        <v>3166</v>
      </c>
      <c r="D52" s="532" t="s">
        <v>48</v>
      </c>
      <c r="E52" s="89">
        <f t="shared" ref="E52:N55" si="32">IF(OR(E65="NA",E74="NA"),"NA",IF(AND(E65="",E74=""),"",SUM(E65)+SUM(E74)))</f>
        <v>317631.38578499999</v>
      </c>
      <c r="F52" s="89">
        <f t="shared" si="32"/>
        <v>4.1E-5</v>
      </c>
      <c r="G52" s="89">
        <v>-661.52838500001235</v>
      </c>
      <c r="H52" s="89">
        <f t="shared" si="32"/>
        <v>316969.857441</v>
      </c>
      <c r="I52" s="89">
        <f t="shared" si="32"/>
        <v>1.6891700000000001</v>
      </c>
      <c r="J52" s="89">
        <f t="shared" si="32"/>
        <v>24.708804000000001</v>
      </c>
      <c r="K52" s="89">
        <f t="shared" si="32"/>
        <v>836.13262699999996</v>
      </c>
      <c r="L52" s="89">
        <v>-323.77584099996602</v>
      </c>
      <c r="M52" s="89">
        <f t="shared" si="32"/>
        <v>317508.61220099998</v>
      </c>
      <c r="N52" s="89">
        <f t="shared" si="32"/>
        <v>316971.54661099997</v>
      </c>
      <c r="O52" s="546"/>
      <c r="P52" s="178">
        <f t="shared" si="24"/>
        <v>0</v>
      </c>
      <c r="Q52" s="179">
        <f t="shared" si="25"/>
        <v>-5.8207660913467407E-11</v>
      </c>
    </row>
    <row r="53" spans="1:17" s="270" customFormat="1" ht="10.35" customHeight="1" x14ac:dyDescent="0.25">
      <c r="A53" s="143" t="s">
        <v>1844</v>
      </c>
      <c r="B53" s="549" t="s">
        <v>1246</v>
      </c>
      <c r="C53" s="550" t="s">
        <v>3167</v>
      </c>
      <c r="D53" s="532" t="s">
        <v>48</v>
      </c>
      <c r="E53" s="89">
        <f t="shared" si="32"/>
        <v>74736.387568999999</v>
      </c>
      <c r="F53" s="89">
        <f t="shared" si="32"/>
        <v>91.132054999999994</v>
      </c>
      <c r="G53" s="89">
        <v>-0.29617999999936728</v>
      </c>
      <c r="H53" s="89">
        <f t="shared" si="32"/>
        <v>74827.223444000003</v>
      </c>
      <c r="I53" s="89">
        <f t="shared" si="32"/>
        <v>1.1454360000000001</v>
      </c>
      <c r="J53" s="89">
        <f t="shared" si="32"/>
        <v>3766.7908830000001</v>
      </c>
      <c r="K53" s="89">
        <f t="shared" si="32"/>
        <v>6781.9177600000003</v>
      </c>
      <c r="L53" s="89">
        <v>-290.29092200000196</v>
      </c>
      <c r="M53" s="89">
        <f t="shared" si="32"/>
        <v>85086.786601</v>
      </c>
      <c r="N53" s="89">
        <f t="shared" si="32"/>
        <v>74828.368879999995</v>
      </c>
      <c r="O53" s="546"/>
      <c r="P53" s="178">
        <f t="shared" si="24"/>
        <v>1.4551915228366852E-11</v>
      </c>
      <c r="Q53" s="179">
        <f t="shared" si="25"/>
        <v>0</v>
      </c>
    </row>
    <row r="54" spans="1:17" s="270" customFormat="1" ht="10.35" customHeight="1" x14ac:dyDescent="0.25">
      <c r="A54" s="143" t="s">
        <v>1845</v>
      </c>
      <c r="B54" s="549" t="s">
        <v>1247</v>
      </c>
      <c r="C54" s="550" t="s">
        <v>3168</v>
      </c>
      <c r="D54" s="532" t="s">
        <v>48</v>
      </c>
      <c r="E54" s="89">
        <f t="shared" si="32"/>
        <v>0</v>
      </c>
      <c r="F54" s="89">
        <f t="shared" si="32"/>
        <v>0</v>
      </c>
      <c r="G54" s="89">
        <v>0</v>
      </c>
      <c r="H54" s="89">
        <f t="shared" si="32"/>
        <v>0</v>
      </c>
      <c r="I54" s="89">
        <f t="shared" si="32"/>
        <v>0</v>
      </c>
      <c r="J54" s="89">
        <f t="shared" si="32"/>
        <v>0</v>
      </c>
      <c r="K54" s="89">
        <f t="shared" si="32"/>
        <v>0</v>
      </c>
      <c r="L54" s="89">
        <v>0</v>
      </c>
      <c r="M54" s="89">
        <f t="shared" si="32"/>
        <v>0</v>
      </c>
      <c r="N54" s="89">
        <f t="shared" si="32"/>
        <v>0</v>
      </c>
      <c r="O54" s="546"/>
      <c r="P54" s="178">
        <f t="shared" si="24"/>
        <v>0</v>
      </c>
      <c r="Q54" s="179">
        <f t="shared" si="25"/>
        <v>0</v>
      </c>
    </row>
    <row r="55" spans="1:17" s="270" customFormat="1" ht="12.95" customHeight="1" x14ac:dyDescent="0.25">
      <c r="A55" s="143" t="s">
        <v>1846</v>
      </c>
      <c r="B55" s="549" t="s">
        <v>1248</v>
      </c>
      <c r="C55" s="550" t="s">
        <v>3169</v>
      </c>
      <c r="D55" s="532" t="s">
        <v>48</v>
      </c>
      <c r="E55" s="89">
        <f t="shared" si="32"/>
        <v>41250.355398</v>
      </c>
      <c r="F55" s="89">
        <f t="shared" si="32"/>
        <v>1137.346616</v>
      </c>
      <c r="G55" s="89">
        <v>0</v>
      </c>
      <c r="H55" s="89">
        <f t="shared" si="32"/>
        <v>42387.702014000002</v>
      </c>
      <c r="I55" s="89">
        <f t="shared" si="32"/>
        <v>1120.1994979999999</v>
      </c>
      <c r="J55" s="89">
        <f t="shared" si="32"/>
        <v>7843.4641879999999</v>
      </c>
      <c r="K55" s="89">
        <f t="shared" si="32"/>
        <v>10073.454963</v>
      </c>
      <c r="L55" s="89">
        <v>0</v>
      </c>
      <c r="M55" s="89">
        <f t="shared" si="32"/>
        <v>61424.820663000006</v>
      </c>
      <c r="N55" s="89">
        <f t="shared" si="32"/>
        <v>43507.901512000004</v>
      </c>
      <c r="O55" s="546"/>
      <c r="P55" s="178">
        <f t="shared" si="24"/>
        <v>0</v>
      </c>
      <c r="Q55" s="179">
        <f t="shared" si="25"/>
        <v>0</v>
      </c>
    </row>
    <row r="56" spans="1:17" s="270" customFormat="1" ht="10.35" customHeight="1" x14ac:dyDescent="0.25">
      <c r="A56" s="143" t="s">
        <v>2046</v>
      </c>
      <c r="B56" s="549" t="s">
        <v>1249</v>
      </c>
      <c r="C56" s="602" t="s">
        <v>3048</v>
      </c>
      <c r="D56" s="532" t="s">
        <v>48</v>
      </c>
      <c r="E56" s="89">
        <v>0</v>
      </c>
      <c r="F56" s="89">
        <v>0</v>
      </c>
      <c r="G56" s="89">
        <v>0</v>
      </c>
      <c r="H56" s="89">
        <f>IF(OR(E56="NA",F56="NA",G56="NA"),"NA",IF(AND(E56="",F56="",G56=""),"",SUM(E56:G56)))</f>
        <v>0</v>
      </c>
      <c r="I56" s="89">
        <v>0</v>
      </c>
      <c r="J56" s="89">
        <v>0</v>
      </c>
      <c r="K56" s="89">
        <v>0</v>
      </c>
      <c r="L56" s="89">
        <v>0</v>
      </c>
      <c r="M56" s="89">
        <f>IF(OR(H56="NA",I56="NA",J56="NA",K56="NA",L56="NA"),"NA",IF(AND(H56="",I56="",J56="",K56="",L56=""),"",SUM(H56:L56)))</f>
        <v>0</v>
      </c>
      <c r="N56" s="89">
        <f>H56+I56</f>
        <v>0</v>
      </c>
      <c r="O56" s="546"/>
      <c r="P56" s="178">
        <f t="shared" si="24"/>
        <v>0</v>
      </c>
      <c r="Q56" s="179">
        <f t="shared" si="25"/>
        <v>0</v>
      </c>
    </row>
    <row r="57" spans="1:17" s="270" customFormat="1" ht="10.35" customHeight="1" x14ac:dyDescent="0.25">
      <c r="A57" s="143" t="s">
        <v>2047</v>
      </c>
      <c r="B57" s="549" t="s">
        <v>1250</v>
      </c>
      <c r="C57" s="602" t="s">
        <v>3049</v>
      </c>
      <c r="D57" s="532" t="s">
        <v>48</v>
      </c>
      <c r="E57" s="89">
        <v>0</v>
      </c>
      <c r="F57" s="89">
        <v>0</v>
      </c>
      <c r="G57" s="89">
        <v>0</v>
      </c>
      <c r="H57" s="89">
        <f>IF(OR(E57="NA",F57="NA",G57="NA"),"NA",IF(AND(E57="",F57="",G57=""),"",SUM(E57:G57)))</f>
        <v>0</v>
      </c>
      <c r="I57" s="89">
        <v>0</v>
      </c>
      <c r="J57" s="89">
        <v>0</v>
      </c>
      <c r="K57" s="89">
        <v>0</v>
      </c>
      <c r="L57" s="89">
        <v>0</v>
      </c>
      <c r="M57" s="89">
        <f>IF(OR(H57="NA",I57="NA",J57="NA",K57="NA",L57="NA"),"NA",IF(AND(H57="",I57="",J57="",K57="",L57=""),"",SUM(H57:L57)))</f>
        <v>0</v>
      </c>
      <c r="N57" s="89">
        <f>H57+I57</f>
        <v>0</v>
      </c>
      <c r="O57" s="546"/>
      <c r="P57" s="178">
        <f t="shared" si="24"/>
        <v>0</v>
      </c>
      <c r="Q57" s="179">
        <f t="shared" si="25"/>
        <v>0</v>
      </c>
    </row>
    <row r="58" spans="1:17" s="270" customFormat="1" ht="10.35" customHeight="1" x14ac:dyDescent="0.25">
      <c r="A58" s="143" t="s">
        <v>2048</v>
      </c>
      <c r="B58" s="549" t="s">
        <v>1251</v>
      </c>
      <c r="C58" s="602" t="s">
        <v>3050</v>
      </c>
      <c r="D58" s="532" t="s">
        <v>48</v>
      </c>
      <c r="E58" s="89">
        <v>41250.355398</v>
      </c>
      <c r="F58" s="89">
        <v>1137.346616</v>
      </c>
      <c r="G58" s="89">
        <v>0</v>
      </c>
      <c r="H58" s="89">
        <f>IF(OR(E58="NA",F58="NA",G58="NA"),"NA",IF(AND(E58="",F58="",G58=""),"",SUM(E58:G58)))</f>
        <v>42387.702014000002</v>
      </c>
      <c r="I58" s="89">
        <v>1120.1994979999999</v>
      </c>
      <c r="J58" s="89">
        <v>7843.4641879999999</v>
      </c>
      <c r="K58" s="89">
        <v>10073.383961</v>
      </c>
      <c r="L58" s="89">
        <v>0</v>
      </c>
      <c r="M58" s="89">
        <f>IF(OR(H58="NA",I58="NA",J58="NA",K58="NA",L58="NA"),"NA",IF(AND(H58="",I58="",J58="",K58="",L58=""),"",SUM(H58:L58)))</f>
        <v>61424.749661000002</v>
      </c>
      <c r="N58" s="89">
        <f>H58+I58</f>
        <v>43507.901512000004</v>
      </c>
      <c r="O58" s="546"/>
      <c r="P58" s="178">
        <f t="shared" si="24"/>
        <v>0</v>
      </c>
      <c r="Q58" s="179">
        <f t="shared" si="25"/>
        <v>0</v>
      </c>
    </row>
    <row r="59" spans="1:17" s="270" customFormat="1" ht="10.35" customHeight="1" x14ac:dyDescent="0.25">
      <c r="A59" s="143" t="s">
        <v>2049</v>
      </c>
      <c r="B59" s="549" t="s">
        <v>1252</v>
      </c>
      <c r="C59" s="602" t="s">
        <v>3051</v>
      </c>
      <c r="D59" s="532" t="s">
        <v>48</v>
      </c>
      <c r="E59" s="89">
        <v>0</v>
      </c>
      <c r="F59" s="89">
        <v>0</v>
      </c>
      <c r="G59" s="89">
        <v>0</v>
      </c>
      <c r="H59" s="89">
        <f>IF(OR(E59="NA",F59="NA",G59="NA"),"NA",IF(AND(E59="",F59="",G59=""),"",SUM(E59:G59)))</f>
        <v>0</v>
      </c>
      <c r="I59" s="89">
        <v>0</v>
      </c>
      <c r="J59" s="89">
        <v>0</v>
      </c>
      <c r="K59" s="89">
        <v>0</v>
      </c>
      <c r="L59" s="89">
        <v>0</v>
      </c>
      <c r="M59" s="89">
        <f>IF(OR(H59="NA",I59="NA",J59="NA",K59="NA",L59="NA"),"NA",IF(AND(H59="",I59="",J59="",K59="",L59=""),"",SUM(H59:L59)))</f>
        <v>0</v>
      </c>
      <c r="N59" s="89">
        <f>H59+I59</f>
        <v>0</v>
      </c>
      <c r="O59" s="546"/>
      <c r="P59" s="178">
        <f t="shared" si="24"/>
        <v>0</v>
      </c>
      <c r="Q59" s="179">
        <f t="shared" si="25"/>
        <v>0</v>
      </c>
    </row>
    <row r="60" spans="1:17" s="270" customFormat="1" ht="10.35" customHeight="1" x14ac:dyDescent="0.25">
      <c r="A60" s="143" t="s">
        <v>2050</v>
      </c>
      <c r="B60" s="549" t="s">
        <v>1253</v>
      </c>
      <c r="C60" s="602" t="s">
        <v>3170</v>
      </c>
      <c r="D60" s="532" t="s">
        <v>48</v>
      </c>
      <c r="E60" s="89">
        <v>0</v>
      </c>
      <c r="F60" s="89">
        <v>0</v>
      </c>
      <c r="G60" s="89">
        <v>0</v>
      </c>
      <c r="H60" s="89">
        <f>IF(OR(E60="NA",F60="NA",G60="NA"),"NA",IF(AND(E60="",F60="",G60=""),"",SUM(E60:G60)))</f>
        <v>0</v>
      </c>
      <c r="I60" s="89">
        <v>0</v>
      </c>
      <c r="J60" s="89">
        <v>0</v>
      </c>
      <c r="K60" s="89">
        <v>0</v>
      </c>
      <c r="L60" s="89">
        <v>0</v>
      </c>
      <c r="M60" s="89">
        <f>IF(OR(H60="NA",I60="NA",J60="NA",K60="NA",L60="NA"),"NA",IF(AND(H60="",I60="",J60="",K60="",L60=""),"",SUM(H60:L60)))</f>
        <v>0</v>
      </c>
      <c r="N60" s="89">
        <f>H60+I60</f>
        <v>0</v>
      </c>
      <c r="O60" s="546"/>
      <c r="P60" s="178">
        <f t="shared" si="24"/>
        <v>0</v>
      </c>
      <c r="Q60" s="179">
        <f t="shared" si="25"/>
        <v>0</v>
      </c>
    </row>
    <row r="61" spans="1:17" s="270" customFormat="1" ht="10.35" customHeight="1" x14ac:dyDescent="0.25">
      <c r="A61" s="143" t="s">
        <v>1847</v>
      </c>
      <c r="B61" s="549" t="s">
        <v>1254</v>
      </c>
      <c r="C61" s="550" t="s">
        <v>3171</v>
      </c>
      <c r="D61" s="532" t="s">
        <v>48</v>
      </c>
      <c r="E61" s="89">
        <f t="shared" ref="E61:N61" si="33">IF(OR(E69="NA",E78="NA"),"NA",IF(AND(E69="",E78=""),"",SUM(E69)+SUM(E78)))</f>
        <v>-354.23219399999999</v>
      </c>
      <c r="F61" s="89">
        <v>0</v>
      </c>
      <c r="G61" s="89">
        <v>0</v>
      </c>
      <c r="H61" s="89">
        <f t="shared" si="33"/>
        <v>-354.23219399999999</v>
      </c>
      <c r="I61" s="89">
        <f t="shared" si="33"/>
        <v>0</v>
      </c>
      <c r="J61" s="89">
        <f t="shared" si="33"/>
        <v>0</v>
      </c>
      <c r="K61" s="89">
        <f t="shared" si="33"/>
        <v>0</v>
      </c>
      <c r="L61" s="89">
        <v>0</v>
      </c>
      <c r="M61" s="89">
        <f t="shared" si="33"/>
        <v>-354.23219399999999</v>
      </c>
      <c r="N61" s="89">
        <f t="shared" si="33"/>
        <v>-354.23219399999999</v>
      </c>
      <c r="O61" s="546"/>
      <c r="P61" s="178">
        <f t="shared" si="24"/>
        <v>0</v>
      </c>
      <c r="Q61" s="179">
        <f t="shared" si="25"/>
        <v>0</v>
      </c>
    </row>
    <row r="62" spans="1:17" s="270" customFormat="1" ht="10.35" customHeight="1" x14ac:dyDescent="0.25">
      <c r="A62" s="143" t="s">
        <v>1848</v>
      </c>
      <c r="B62" s="549" t="s">
        <v>1255</v>
      </c>
      <c r="C62" s="550" t="s">
        <v>3172</v>
      </c>
      <c r="D62" s="532" t="s">
        <v>48</v>
      </c>
      <c r="E62" s="89">
        <f t="shared" ref="E62:N62" si="34">IF(OR(E70="NA",E79="NA"),"NA",IF(AND(E70="",E79=""),"",SUM(E70)+SUM(E79)))</f>
        <v>157101.870505</v>
      </c>
      <c r="F62" s="89">
        <f t="shared" si="34"/>
        <v>916.178179</v>
      </c>
      <c r="G62" s="89">
        <v>-699.90723099999013</v>
      </c>
      <c r="H62" s="89">
        <f t="shared" si="34"/>
        <v>157318.14145300002</v>
      </c>
      <c r="I62" s="89">
        <f t="shared" si="34"/>
        <v>6403.7093400000003</v>
      </c>
      <c r="J62" s="89">
        <f t="shared" si="34"/>
        <v>7598.7631010000005</v>
      </c>
      <c r="K62" s="89">
        <f t="shared" si="34"/>
        <v>13162.355447</v>
      </c>
      <c r="L62" s="89">
        <v>-6593.1472790000262</v>
      </c>
      <c r="M62" s="89">
        <f t="shared" si="34"/>
        <v>177889.82206199999</v>
      </c>
      <c r="N62" s="89">
        <f t="shared" si="34"/>
        <v>163721.85079300002</v>
      </c>
      <c r="O62" s="546"/>
      <c r="P62" s="178">
        <f t="shared" si="24"/>
        <v>0</v>
      </c>
      <c r="Q62" s="179">
        <f t="shared" si="25"/>
        <v>0</v>
      </c>
    </row>
    <row r="63" spans="1:17" ht="15" customHeight="1" x14ac:dyDescent="0.25">
      <c r="A63" s="143" t="s">
        <v>1849</v>
      </c>
      <c r="B63" s="547" t="s">
        <v>1256</v>
      </c>
      <c r="C63" s="601" t="s">
        <v>3055</v>
      </c>
      <c r="D63" s="532" t="s">
        <v>48</v>
      </c>
      <c r="E63" s="90">
        <f>IF(OR(E64="NA",E65="NA",E66="NA",E67="NA",E68="NA",E69="NA"),"NA",IF(AND(E64="",E65="",E66="",E67="",E68="",E69="",E70=""),"",SUM(E64:E70)))</f>
        <v>455198.61232100002</v>
      </c>
      <c r="F63" s="90">
        <f t="shared" ref="F63:N63" si="35">IF(OR(F64="NA",F65="NA",F66="NA",F67="NA",F68="NA",F69="NA"),"NA",IF(AND(F64="",F65="",F66="",F67="",F68="",F69="",F70=""),"",SUM(F64:F70)))</f>
        <v>2144.607528</v>
      </c>
      <c r="G63" s="488">
        <f>IF(+G49="","",+G49)</f>
        <v>-1458.923713000002</v>
      </c>
      <c r="H63" s="90">
        <f t="shared" si="35"/>
        <v>455884.29613600002</v>
      </c>
      <c r="I63" s="90">
        <f t="shared" si="35"/>
        <v>8302.804282000001</v>
      </c>
      <c r="J63" s="90">
        <f t="shared" si="35"/>
        <v>19773.927920999999</v>
      </c>
      <c r="K63" s="90">
        <f t="shared" si="35"/>
        <v>30618.822182</v>
      </c>
      <c r="L63" s="488">
        <f>IF(+L49="","",+L49)</f>
        <v>-11046.685869999994</v>
      </c>
      <c r="M63" s="90">
        <f t="shared" si="35"/>
        <v>503533.164651</v>
      </c>
      <c r="N63" s="90">
        <f t="shared" si="35"/>
        <v>464187.10041800002</v>
      </c>
      <c r="O63" s="546"/>
      <c r="P63" s="178">
        <f t="shared" si="24"/>
        <v>0</v>
      </c>
      <c r="Q63" s="179">
        <f t="shared" si="25"/>
        <v>0</v>
      </c>
    </row>
    <row r="64" spans="1:17" ht="10.35" customHeight="1" x14ac:dyDescent="0.25">
      <c r="A64" s="143" t="s">
        <v>1850</v>
      </c>
      <c r="B64" s="549" t="s">
        <v>1257</v>
      </c>
      <c r="C64" s="602" t="s">
        <v>3028</v>
      </c>
      <c r="D64" s="532" t="s">
        <v>48</v>
      </c>
      <c r="E64" s="89">
        <v>0</v>
      </c>
      <c r="F64" s="89">
        <v>0</v>
      </c>
      <c r="G64" s="475">
        <f>IF(+G51="","",+G51)</f>
        <v>-97.191917000000103</v>
      </c>
      <c r="H64" s="89">
        <f t="shared" ref="H64:H70" si="36">IF(OR(E64="NA",F64="NA",G64="NA"),"NA",IF(AND(E64="",F64="",G64=""),"",SUM(E64:G64)))</f>
        <v>-97.191917000000103</v>
      </c>
      <c r="I64" s="89">
        <v>777.19819099999995</v>
      </c>
      <c r="J64" s="89">
        <v>1103.4389659999999</v>
      </c>
      <c r="K64" s="89">
        <v>1736.230935</v>
      </c>
      <c r="L64" s="475">
        <f>IF(+L51="","",+L51)</f>
        <v>-3839.4718279999997</v>
      </c>
      <c r="M64" s="89">
        <f t="shared" ref="M64:M70" si="37">IF(OR(H64="NA",I64="NA",J64="NA",K64="NA",L64="NA"),"NA",IF(AND(H64="",I64="",J64="",K64="",L64=""),"",SUM(H64:L64)))</f>
        <v>-319.79565300000013</v>
      </c>
      <c r="N64" s="89">
        <f t="shared" ref="N64:N70" si="38">H64+I64</f>
        <v>680.00627399999985</v>
      </c>
      <c r="O64" s="546"/>
      <c r="P64" s="178">
        <f t="shared" si="24"/>
        <v>0</v>
      </c>
      <c r="Q64" s="179">
        <f t="shared" si="25"/>
        <v>0</v>
      </c>
    </row>
    <row r="65" spans="1:17" ht="10.35" customHeight="1" x14ac:dyDescent="0.25">
      <c r="A65" s="143" t="s">
        <v>1851</v>
      </c>
      <c r="B65" s="549" t="s">
        <v>1258</v>
      </c>
      <c r="C65" s="602" t="s">
        <v>3029</v>
      </c>
      <c r="D65" s="532" t="s">
        <v>48</v>
      </c>
      <c r="E65" s="89">
        <v>240844.42737200001</v>
      </c>
      <c r="F65" s="89">
        <v>0</v>
      </c>
      <c r="G65" s="475">
        <f t="shared" ref="G65:G68" si="39">IF(+G52="","",+G52)</f>
        <v>-661.52838500001235</v>
      </c>
      <c r="H65" s="89">
        <f t="shared" si="36"/>
        <v>240182.89898699999</v>
      </c>
      <c r="I65" s="89">
        <v>1.6891700000000001</v>
      </c>
      <c r="J65" s="89">
        <v>24.708804000000001</v>
      </c>
      <c r="K65" s="89">
        <v>252.297573</v>
      </c>
      <c r="L65" s="475">
        <f t="shared" ref="L65:L68" si="40">IF(+L52="","",+L52)</f>
        <v>-323.77584099996602</v>
      </c>
      <c r="M65" s="89">
        <f t="shared" si="37"/>
        <v>240137.81869300001</v>
      </c>
      <c r="N65" s="89">
        <f t="shared" si="38"/>
        <v>240184.58815699999</v>
      </c>
      <c r="O65" s="546"/>
      <c r="P65" s="178">
        <f t="shared" si="24"/>
        <v>0</v>
      </c>
      <c r="Q65" s="179">
        <f t="shared" si="25"/>
        <v>0</v>
      </c>
    </row>
    <row r="66" spans="1:17" ht="10.35" customHeight="1" x14ac:dyDescent="0.25">
      <c r="A66" s="143" t="s">
        <v>1852</v>
      </c>
      <c r="B66" s="549" t="s">
        <v>1259</v>
      </c>
      <c r="C66" s="602" t="s">
        <v>3030</v>
      </c>
      <c r="D66" s="532" t="s">
        <v>48</v>
      </c>
      <c r="E66" s="89">
        <v>16356.19124</v>
      </c>
      <c r="F66" s="89">
        <v>91.132054999999994</v>
      </c>
      <c r="G66" s="475">
        <f>IF(+G53="","",+G53)</f>
        <v>-0.29617999999936728</v>
      </c>
      <c r="H66" s="89">
        <f t="shared" si="36"/>
        <v>16447.027114999997</v>
      </c>
      <c r="I66" s="89">
        <v>8.0829999999999999E-3</v>
      </c>
      <c r="J66" s="89">
        <v>3203.5858020000001</v>
      </c>
      <c r="K66" s="89">
        <v>5394.5263830000004</v>
      </c>
      <c r="L66" s="475">
        <f t="shared" si="40"/>
        <v>-290.29092200000196</v>
      </c>
      <c r="M66" s="89">
        <f t="shared" si="37"/>
        <v>24754.856460999996</v>
      </c>
      <c r="N66" s="89">
        <f t="shared" si="38"/>
        <v>16447.035197999998</v>
      </c>
      <c r="O66" s="546"/>
      <c r="P66" s="178">
        <f t="shared" si="24"/>
        <v>0</v>
      </c>
      <c r="Q66" s="179">
        <f t="shared" si="25"/>
        <v>0</v>
      </c>
    </row>
    <row r="67" spans="1:17" ht="10.35" customHeight="1" x14ac:dyDescent="0.25">
      <c r="A67" s="143" t="s">
        <v>1853</v>
      </c>
      <c r="B67" s="549" t="s">
        <v>1260</v>
      </c>
      <c r="C67" s="602" t="s">
        <v>3031</v>
      </c>
      <c r="D67" s="532" t="s">
        <v>48</v>
      </c>
      <c r="E67" s="89">
        <v>0</v>
      </c>
      <c r="F67" s="89">
        <v>0</v>
      </c>
      <c r="G67" s="475">
        <f t="shared" si="39"/>
        <v>0</v>
      </c>
      <c r="H67" s="89">
        <f t="shared" si="36"/>
        <v>0</v>
      </c>
      <c r="I67" s="89">
        <v>0</v>
      </c>
      <c r="J67" s="89">
        <v>0</v>
      </c>
      <c r="K67" s="89">
        <v>0</v>
      </c>
      <c r="L67" s="475">
        <f t="shared" si="40"/>
        <v>0</v>
      </c>
      <c r="M67" s="89">
        <f t="shared" si="37"/>
        <v>0</v>
      </c>
      <c r="N67" s="89">
        <f t="shared" si="38"/>
        <v>0</v>
      </c>
      <c r="O67" s="546"/>
      <c r="P67" s="178">
        <f t="shared" si="24"/>
        <v>0</v>
      </c>
      <c r="Q67" s="179">
        <f t="shared" si="25"/>
        <v>0</v>
      </c>
    </row>
    <row r="68" spans="1:17" ht="10.35" customHeight="1" x14ac:dyDescent="0.25">
      <c r="A68" s="143" t="s">
        <v>1854</v>
      </c>
      <c r="B68" s="549" t="s">
        <v>1261</v>
      </c>
      <c r="C68" s="602" t="s">
        <v>3032</v>
      </c>
      <c r="D68" s="532" t="s">
        <v>48</v>
      </c>
      <c r="E68" s="89">
        <v>41250.355398</v>
      </c>
      <c r="F68" s="89">
        <v>1137.346616</v>
      </c>
      <c r="G68" s="475">
        <f t="shared" si="39"/>
        <v>0</v>
      </c>
      <c r="H68" s="89">
        <f t="shared" si="36"/>
        <v>42387.702014000002</v>
      </c>
      <c r="I68" s="89">
        <v>1120.1994979999999</v>
      </c>
      <c r="J68" s="89">
        <v>7843.4641879999999</v>
      </c>
      <c r="K68" s="89">
        <v>10073.454963</v>
      </c>
      <c r="L68" s="475">
        <f t="shared" si="40"/>
        <v>0</v>
      </c>
      <c r="M68" s="89">
        <f t="shared" si="37"/>
        <v>61424.820663000006</v>
      </c>
      <c r="N68" s="89">
        <f t="shared" si="38"/>
        <v>43507.901512000004</v>
      </c>
      <c r="O68" s="546"/>
      <c r="P68" s="178">
        <f t="shared" si="24"/>
        <v>0</v>
      </c>
      <c r="Q68" s="179">
        <f t="shared" si="25"/>
        <v>0</v>
      </c>
    </row>
    <row r="69" spans="1:17" ht="10.35" customHeight="1" x14ac:dyDescent="0.25">
      <c r="A69" s="143" t="s">
        <v>1855</v>
      </c>
      <c r="B69" s="549" t="s">
        <v>1262</v>
      </c>
      <c r="C69" s="602" t="s">
        <v>3056</v>
      </c>
      <c r="D69" s="532" t="s">
        <v>48</v>
      </c>
      <c r="E69" s="89">
        <v>-354.23219399999999</v>
      </c>
      <c r="F69" s="89">
        <v>0</v>
      </c>
      <c r="G69" s="475">
        <f>IF(+G61="","",+G61)</f>
        <v>0</v>
      </c>
      <c r="H69" s="89">
        <f t="shared" si="36"/>
        <v>-354.23219399999999</v>
      </c>
      <c r="I69" s="89">
        <v>0</v>
      </c>
      <c r="J69" s="89">
        <v>0</v>
      </c>
      <c r="K69" s="89">
        <v>0</v>
      </c>
      <c r="L69" s="475">
        <f>IF(+L61="","",+L61)</f>
        <v>0</v>
      </c>
      <c r="M69" s="89">
        <f t="shared" si="37"/>
        <v>-354.23219399999999</v>
      </c>
      <c r="N69" s="89">
        <f t="shared" si="38"/>
        <v>-354.23219399999999</v>
      </c>
      <c r="O69" s="546"/>
      <c r="P69" s="178">
        <f t="shared" si="24"/>
        <v>0</v>
      </c>
      <c r="Q69" s="179">
        <f t="shared" si="25"/>
        <v>0</v>
      </c>
    </row>
    <row r="70" spans="1:17" ht="10.35" customHeight="1" x14ac:dyDescent="0.25">
      <c r="A70" s="143" t="s">
        <v>1856</v>
      </c>
      <c r="B70" s="549" t="s">
        <v>1263</v>
      </c>
      <c r="C70" s="602" t="s">
        <v>3034</v>
      </c>
      <c r="D70" s="532" t="s">
        <v>48</v>
      </c>
      <c r="E70" s="89">
        <v>157101.870505</v>
      </c>
      <c r="F70" s="89">
        <v>916.12885700000004</v>
      </c>
      <c r="G70" s="475">
        <f>IF(+G62="","",+G62)</f>
        <v>-699.90723099999013</v>
      </c>
      <c r="H70" s="89">
        <f t="shared" si="36"/>
        <v>157318.09213100001</v>
      </c>
      <c r="I70" s="89">
        <v>6403.7093400000003</v>
      </c>
      <c r="J70" s="89">
        <v>7598.7301610000004</v>
      </c>
      <c r="K70" s="89">
        <v>13162.312328</v>
      </c>
      <c r="L70" s="475">
        <f>IF(+L62="","",+L62)</f>
        <v>-6593.1472790000262</v>
      </c>
      <c r="M70" s="89">
        <f t="shared" si="37"/>
        <v>177889.696681</v>
      </c>
      <c r="N70" s="89">
        <f t="shared" si="38"/>
        <v>163721.80147100001</v>
      </c>
      <c r="O70" s="546"/>
      <c r="P70" s="178">
        <f t="shared" si="24"/>
        <v>0</v>
      </c>
      <c r="Q70" s="179">
        <f t="shared" si="25"/>
        <v>0</v>
      </c>
    </row>
    <row r="71" spans="1:17" ht="15" customHeight="1" x14ac:dyDescent="0.25">
      <c r="A71" s="143" t="s">
        <v>1857</v>
      </c>
      <c r="B71" s="547" t="s">
        <v>1264</v>
      </c>
      <c r="C71" s="601" t="s">
        <v>3057</v>
      </c>
      <c r="D71" s="532" t="s">
        <v>48</v>
      </c>
      <c r="E71" s="89">
        <f>IF(OR(E72="NA",E73="NA",E74="NA",E75="NA",E76="NA",E77="NA",E78="NA"),"NA",IF(AND(E72="",E73="",E74="",E75="",E76="",E77="",E78="",E79=""),"",SUM(E72:E79)))</f>
        <v>135167.15474199998</v>
      </c>
      <c r="F71" s="89">
        <f>IF(OR(F73="NA",F74="NA",F75="NA",F76="NA",F77="NA",F78="NA"),"NA",IF(AND(F73="",F74="",F75="",F76="",F77="",F78="",F79=""),"",SUM(F72:F79)))</f>
        <v>4.9362999999999997E-2</v>
      </c>
      <c r="G71" s="477">
        <v>0</v>
      </c>
      <c r="H71" s="89">
        <f>IF(OR(H72="NA",H73="NA",H74="NA",H75="NA",H76="NA",H77="NA",H78="NA"),"NA",IF(AND(H72="",H73="",H74="",H75="",H76="",H77="",H78="",H79=""),"",SUM(H72:H79)))</f>
        <v>135167.20410500001</v>
      </c>
      <c r="I71" s="89">
        <f>IF(OR(I73="NA",I74="NA",I75="NA",I76="NA",I77="NA",I78="NA"),"NA",IF(AND(I73="",I74="",I75="",I76="",I77="",I78="",I79=""),"",SUM(I72:I79)))</f>
        <v>1.1373530000000001</v>
      </c>
      <c r="J71" s="89">
        <f>IF(OR(J73="NA",J74="NA",J75="NA",J76="NA",J77="NA",J78="NA"),"NA",IF(AND(J73="",J74="",J75="",J76="",J77="",J78="",J79=""),"",SUM(J72:J79)))</f>
        <v>563.238021</v>
      </c>
      <c r="K71" s="89">
        <f>IF(OR(K73="NA",K74="NA",K75="NA",K76="NA",K77="NA",K78="NA"),"NA",IF(AND(K73="",K74="",K75="",K76="",K77="",K78="",K79=""),"",SUM(K72:K79)))</f>
        <v>1971.26955</v>
      </c>
      <c r="L71" s="477">
        <v>0</v>
      </c>
      <c r="M71" s="89">
        <f>IF(OR(M72="NA",M73="NA",M74="NA",M75="NA",M76="NA",M77="NA",M78="NA"),"NA",IF(AND(M72="",M73="",M74="",M75="",M76="",M77="",M78="",M79=""),"",SUM(M72:M79)))</f>
        <v>137702.84902899998</v>
      </c>
      <c r="N71" s="89">
        <f>IF(OR(N72="NA",N73="NA",N74="NA",N75="NA",N76="NA",N77="NA",N78="NA"),"NA",IF(AND(N72="",N73="",N74="",N75="",N76="",N77="",N78="",N79=""),"",SUM(N72:N79)))</f>
        <v>135168.34145800001</v>
      </c>
      <c r="O71" s="546"/>
      <c r="P71" s="178">
        <f t="shared" si="24"/>
        <v>2.9103830456733704E-11</v>
      </c>
      <c r="Q71" s="179">
        <f t="shared" si="25"/>
        <v>-2.9103830456733704E-11</v>
      </c>
    </row>
    <row r="72" spans="1:17" s="270" customFormat="1" ht="10.35" customHeight="1" x14ac:dyDescent="0.25">
      <c r="A72" s="143" t="s">
        <v>1858</v>
      </c>
      <c r="B72" s="549" t="s">
        <v>1265</v>
      </c>
      <c r="C72" s="602" t="s">
        <v>3173</v>
      </c>
      <c r="D72" s="532" t="s">
        <v>48</v>
      </c>
      <c r="E72" s="90"/>
      <c r="F72" s="473">
        <v>0</v>
      </c>
      <c r="G72" s="473">
        <v>0</v>
      </c>
      <c r="H72" s="89">
        <v>0</v>
      </c>
      <c r="I72" s="473">
        <v>0</v>
      </c>
      <c r="J72" s="473">
        <v>0</v>
      </c>
      <c r="K72" s="473">
        <v>0</v>
      </c>
      <c r="L72" s="473">
        <v>0</v>
      </c>
      <c r="M72" s="89">
        <f>IF(OR(H72="NA"),"NA",IF(AND(H72=""),"",SUM(H72:L72)))</f>
        <v>0</v>
      </c>
      <c r="N72" s="89">
        <f>H72+I72</f>
        <v>0</v>
      </c>
      <c r="O72" s="546"/>
      <c r="P72" s="178">
        <f t="shared" ref="P72:P79" si="41">IF(OR(H72="NA",E72="NA",F72="NA",G72="NA"),"NA",SUM(H72)-SUM(E72:G72))</f>
        <v>0</v>
      </c>
      <c r="Q72" s="179">
        <f t="shared" ref="Q72:Q79" si="42">IF(OR(M72="NA",H72="NA",I72="NA",J72="NA",K72="NA",L72="NA"),"NA",SUM(M72)-SUM(H72:L72))</f>
        <v>0</v>
      </c>
    </row>
    <row r="73" spans="1:17" ht="10.35" customHeight="1" x14ac:dyDescent="0.25">
      <c r="A73" s="143" t="s">
        <v>1859</v>
      </c>
      <c r="B73" s="549" t="s">
        <v>1266</v>
      </c>
      <c r="C73" s="602" t="s">
        <v>3028</v>
      </c>
      <c r="D73" s="532" t="s">
        <v>48</v>
      </c>
      <c r="E73" s="89">
        <v>0</v>
      </c>
      <c r="F73" s="89">
        <v>0</v>
      </c>
      <c r="G73" s="473">
        <v>0</v>
      </c>
      <c r="H73" s="89">
        <f t="shared" ref="H73:H79" si="43">IF(OR(E73="NA",F73="NA"),"NA",IF(AND(E73="",F73=""),"",SUM(E73:G73)))</f>
        <v>0</v>
      </c>
      <c r="I73" s="89">
        <v>0</v>
      </c>
      <c r="J73" s="89">
        <v>0</v>
      </c>
      <c r="K73" s="93">
        <v>0</v>
      </c>
      <c r="L73" s="473">
        <v>0</v>
      </c>
      <c r="M73" s="89">
        <f t="shared" ref="M73:M79" si="44">IF(OR(H73="NA",I73="NA",J73="NA",K73="NA"),"NA",IF(AND(H73="",I73="",J73="",K73=""),"",SUM(H73:L73)))</f>
        <v>0</v>
      </c>
      <c r="N73" s="89">
        <f>H73+I73</f>
        <v>0</v>
      </c>
      <c r="O73" s="546"/>
      <c r="P73" s="178">
        <f t="shared" si="41"/>
        <v>0</v>
      </c>
      <c r="Q73" s="179">
        <f t="shared" si="42"/>
        <v>0</v>
      </c>
    </row>
    <row r="74" spans="1:17" ht="10.35" customHeight="1" x14ac:dyDescent="0.25">
      <c r="A74" s="143" t="s">
        <v>1860</v>
      </c>
      <c r="B74" s="549" t="s">
        <v>1267</v>
      </c>
      <c r="C74" s="602" t="s">
        <v>3059</v>
      </c>
      <c r="D74" s="532" t="s">
        <v>48</v>
      </c>
      <c r="E74" s="89">
        <v>76786.958413</v>
      </c>
      <c r="F74" s="89">
        <v>4.1E-5</v>
      </c>
      <c r="G74" s="473">
        <v>0</v>
      </c>
      <c r="H74" s="89">
        <f t="shared" si="43"/>
        <v>76786.958454000007</v>
      </c>
      <c r="I74" s="89">
        <v>0</v>
      </c>
      <c r="J74" s="89">
        <v>0</v>
      </c>
      <c r="K74" s="93">
        <v>583.83505400000001</v>
      </c>
      <c r="L74" s="473">
        <v>0</v>
      </c>
      <c r="M74" s="89">
        <f t="shared" si="44"/>
        <v>77370.793508000002</v>
      </c>
      <c r="N74" s="89">
        <f>H74+I74</f>
        <v>76786.958454000007</v>
      </c>
      <c r="O74" s="546"/>
      <c r="P74" s="178">
        <f t="shared" si="41"/>
        <v>0</v>
      </c>
      <c r="Q74" s="179">
        <f t="shared" si="42"/>
        <v>0</v>
      </c>
    </row>
    <row r="75" spans="1:17" ht="10.35" customHeight="1" x14ac:dyDescent="0.25">
      <c r="A75" s="143" t="s">
        <v>1861</v>
      </c>
      <c r="B75" s="549" t="s">
        <v>1268</v>
      </c>
      <c r="C75" s="602" t="s">
        <v>3060</v>
      </c>
      <c r="D75" s="532" t="s">
        <v>48</v>
      </c>
      <c r="E75" s="89">
        <v>58380.196328999999</v>
      </c>
      <c r="F75" s="89">
        <v>0</v>
      </c>
      <c r="G75" s="473">
        <v>0</v>
      </c>
      <c r="H75" s="89">
        <f t="shared" si="43"/>
        <v>58380.196328999999</v>
      </c>
      <c r="I75" s="89">
        <v>1.1373530000000001</v>
      </c>
      <c r="J75" s="89">
        <v>563.20508099999995</v>
      </c>
      <c r="K75" s="93">
        <v>1387.3913769999999</v>
      </c>
      <c r="L75" s="473">
        <v>0</v>
      </c>
      <c r="M75" s="89">
        <f t="shared" si="44"/>
        <v>60331.930139999997</v>
      </c>
      <c r="N75" s="89">
        <f>H75+I75</f>
        <v>58381.333681999997</v>
      </c>
      <c r="O75" s="546"/>
      <c r="P75" s="178">
        <f t="shared" si="41"/>
        <v>0</v>
      </c>
      <c r="Q75" s="179">
        <f t="shared" si="42"/>
        <v>0</v>
      </c>
    </row>
    <row r="76" spans="1:17" ht="10.35" customHeight="1" x14ac:dyDescent="0.25">
      <c r="A76" s="143" t="s">
        <v>1862</v>
      </c>
      <c r="B76" s="549" t="s">
        <v>1269</v>
      </c>
      <c r="C76" s="602" t="s">
        <v>3061</v>
      </c>
      <c r="D76" s="532" t="s">
        <v>48</v>
      </c>
      <c r="E76" s="89">
        <v>0</v>
      </c>
      <c r="F76" s="89">
        <v>0</v>
      </c>
      <c r="G76" s="473">
        <v>0</v>
      </c>
      <c r="H76" s="89">
        <f t="shared" si="43"/>
        <v>0</v>
      </c>
      <c r="I76" s="89">
        <v>0</v>
      </c>
      <c r="J76" s="89">
        <v>0</v>
      </c>
      <c r="K76" s="93">
        <v>0</v>
      </c>
      <c r="L76" s="473">
        <v>0</v>
      </c>
      <c r="M76" s="89">
        <f t="shared" si="44"/>
        <v>0</v>
      </c>
      <c r="N76" s="89">
        <f>H766+I76</f>
        <v>0</v>
      </c>
      <c r="O76" s="546"/>
      <c r="P76" s="178">
        <f t="shared" si="41"/>
        <v>0</v>
      </c>
      <c r="Q76" s="179">
        <f t="shared" si="42"/>
        <v>0</v>
      </c>
    </row>
    <row r="77" spans="1:17" ht="10.35" customHeight="1" x14ac:dyDescent="0.25">
      <c r="A77" s="143" t="s">
        <v>1863</v>
      </c>
      <c r="B77" s="549" t="s">
        <v>1270</v>
      </c>
      <c r="C77" s="602" t="s">
        <v>3038</v>
      </c>
      <c r="D77" s="532" t="s">
        <v>48</v>
      </c>
      <c r="E77" s="89">
        <v>0</v>
      </c>
      <c r="F77" s="89">
        <v>0</v>
      </c>
      <c r="G77" s="473">
        <v>0</v>
      </c>
      <c r="H77" s="89">
        <f t="shared" si="43"/>
        <v>0</v>
      </c>
      <c r="I77" s="89">
        <v>0</v>
      </c>
      <c r="J77" s="89">
        <v>0</v>
      </c>
      <c r="K77" s="93">
        <v>0</v>
      </c>
      <c r="L77" s="473">
        <v>0</v>
      </c>
      <c r="M77" s="89">
        <f t="shared" si="44"/>
        <v>0</v>
      </c>
      <c r="N77" s="89">
        <f>H77+I77</f>
        <v>0</v>
      </c>
      <c r="O77" s="546"/>
      <c r="P77" s="178">
        <f t="shared" si="41"/>
        <v>0</v>
      </c>
      <c r="Q77" s="179">
        <f t="shared" si="42"/>
        <v>0</v>
      </c>
    </row>
    <row r="78" spans="1:17" ht="10.35" customHeight="1" x14ac:dyDescent="0.25">
      <c r="A78" s="143" t="s">
        <v>1864</v>
      </c>
      <c r="B78" s="549" t="s">
        <v>1271</v>
      </c>
      <c r="C78" s="602" t="s">
        <v>3174</v>
      </c>
      <c r="D78" s="532" t="s">
        <v>48</v>
      </c>
      <c r="E78" s="89">
        <v>0</v>
      </c>
      <c r="F78" s="89">
        <v>0</v>
      </c>
      <c r="G78" s="473">
        <v>0</v>
      </c>
      <c r="H78" s="89">
        <f t="shared" si="43"/>
        <v>0</v>
      </c>
      <c r="I78" s="89">
        <v>0</v>
      </c>
      <c r="J78" s="89">
        <v>0</v>
      </c>
      <c r="K78" s="93">
        <v>0</v>
      </c>
      <c r="L78" s="473">
        <v>0</v>
      </c>
      <c r="M78" s="89">
        <f t="shared" si="44"/>
        <v>0</v>
      </c>
      <c r="N78" s="89">
        <f>H78+I78</f>
        <v>0</v>
      </c>
      <c r="O78" s="546"/>
      <c r="P78" s="178">
        <f t="shared" si="41"/>
        <v>0</v>
      </c>
      <c r="Q78" s="179">
        <f t="shared" si="42"/>
        <v>0</v>
      </c>
    </row>
    <row r="79" spans="1:17" ht="10.35" customHeight="1" x14ac:dyDescent="0.25">
      <c r="A79" s="143" t="s">
        <v>1865</v>
      </c>
      <c r="B79" s="536" t="s">
        <v>1272</v>
      </c>
      <c r="C79" s="608" t="s">
        <v>3063</v>
      </c>
      <c r="D79" s="537" t="s">
        <v>48</v>
      </c>
      <c r="E79" s="146">
        <v>0</v>
      </c>
      <c r="F79" s="146">
        <v>4.9321999999999998E-2</v>
      </c>
      <c r="G79" s="474">
        <v>0</v>
      </c>
      <c r="H79" s="146">
        <f t="shared" si="43"/>
        <v>4.9321999999999998E-2</v>
      </c>
      <c r="I79" s="146">
        <v>0</v>
      </c>
      <c r="J79" s="146">
        <v>3.2939999999999997E-2</v>
      </c>
      <c r="K79" s="147">
        <v>4.3118999999999998E-2</v>
      </c>
      <c r="L79" s="474">
        <v>0</v>
      </c>
      <c r="M79" s="146">
        <f t="shared" si="44"/>
        <v>0.12538099999999999</v>
      </c>
      <c r="N79" s="146">
        <f>H79+I79</f>
        <v>4.9321999999999998E-2</v>
      </c>
      <c r="O79" s="546"/>
      <c r="P79" s="188">
        <f t="shared" si="41"/>
        <v>0</v>
      </c>
      <c r="Q79" s="189">
        <f t="shared" si="42"/>
        <v>0</v>
      </c>
    </row>
    <row r="80" spans="1:17" ht="9.75" customHeight="1" x14ac:dyDescent="0.25">
      <c r="A80" s="143"/>
      <c r="B80" s="567" t="s">
        <v>990</v>
      </c>
      <c r="C80" s="542" t="s">
        <v>2768</v>
      </c>
      <c r="D80" s="532" t="s">
        <v>48</v>
      </c>
      <c r="E80" s="635" t="s">
        <v>990</v>
      </c>
      <c r="F80" s="635" t="s">
        <v>990</v>
      </c>
      <c r="G80" s="635" t="s">
        <v>990</v>
      </c>
      <c r="H80" s="636" t="s">
        <v>990</v>
      </c>
      <c r="I80" s="635" t="s">
        <v>990</v>
      </c>
      <c r="J80" s="635" t="s">
        <v>990</v>
      </c>
      <c r="K80" s="636" t="s">
        <v>990</v>
      </c>
      <c r="L80" s="635" t="s">
        <v>990</v>
      </c>
      <c r="M80" s="637" t="s">
        <v>990</v>
      </c>
      <c r="N80" s="635" t="s">
        <v>990</v>
      </c>
      <c r="O80" s="546"/>
      <c r="P80" s="178"/>
      <c r="Q80" s="179"/>
    </row>
    <row r="81" spans="1:17" ht="10.5" customHeight="1" x14ac:dyDescent="0.25">
      <c r="A81" s="143" t="s">
        <v>1866</v>
      </c>
      <c r="B81" s="633" t="s">
        <v>72</v>
      </c>
      <c r="C81" s="634" t="s">
        <v>3175</v>
      </c>
      <c r="D81" s="558" t="s">
        <v>48</v>
      </c>
      <c r="E81" s="475">
        <f>IF(OR(E22="NA",E49="NA"),"NA",IF(AND(E22="",E49=""),"",SUM(E22)-SUM(E49)))</f>
        <v>-372050.176604988</v>
      </c>
      <c r="F81" s="475">
        <f t="shared" ref="F81:N81" si="45">IF(OR(F22="NA",F49="NA"),"NA",IF(AND(F22="",F49=""),"",SUM(F22)-SUM(F49)))</f>
        <v>4378.4321679999994</v>
      </c>
      <c r="G81" s="475">
        <f t="shared" si="45"/>
        <v>75.875814448023448</v>
      </c>
      <c r="H81" s="475">
        <f t="shared" si="45"/>
        <v>-367595.86862253997</v>
      </c>
      <c r="I81" s="475">
        <f t="shared" si="45"/>
        <v>10510.092696</v>
      </c>
      <c r="J81" s="475">
        <f t="shared" si="45"/>
        <v>26531.184607365001</v>
      </c>
      <c r="K81" s="475">
        <f t="shared" si="45"/>
        <v>53547.943488019999</v>
      </c>
      <c r="L81" s="475">
        <f t="shared" si="45"/>
        <v>115.11293325599399</v>
      </c>
      <c r="M81" s="475">
        <f t="shared" si="45"/>
        <v>-276891.53489789896</v>
      </c>
      <c r="N81" s="475">
        <f t="shared" si="45"/>
        <v>-357085.77592654002</v>
      </c>
      <c r="O81" s="546"/>
      <c r="P81" s="183">
        <f>IF(OR(H81="NA",E81="NA",F81="NA",G81="NA"),"NA",SUM(H81)-SUM(E81:G81))</f>
        <v>5.8207660913467407E-11</v>
      </c>
      <c r="Q81" s="184">
        <f>IF(OR(M81="NA",H81="NA",I81="NA",J81="NA",K81="NA",L81="NA"),"NA",SUM(M81)-SUM(H81:L81))</f>
        <v>5.8207660913467407E-11</v>
      </c>
    </row>
    <row r="82" spans="1:17" ht="10.5" customHeight="1" x14ac:dyDescent="0.25">
      <c r="A82" s="143"/>
      <c r="B82" s="567" t="s">
        <v>990</v>
      </c>
      <c r="C82" s="610" t="s">
        <v>3176</v>
      </c>
      <c r="D82" s="532"/>
      <c r="E82" s="635" t="s">
        <v>990</v>
      </c>
      <c r="F82" s="635" t="s">
        <v>990</v>
      </c>
      <c r="G82" s="635" t="s">
        <v>990</v>
      </c>
      <c r="H82" s="636" t="s">
        <v>990</v>
      </c>
      <c r="I82" s="635" t="s">
        <v>990</v>
      </c>
      <c r="J82" s="635" t="s">
        <v>990</v>
      </c>
      <c r="K82" s="636" t="s">
        <v>990</v>
      </c>
      <c r="L82" s="635" t="s">
        <v>990</v>
      </c>
      <c r="M82" s="637" t="s">
        <v>990</v>
      </c>
      <c r="N82" s="635" t="s">
        <v>990</v>
      </c>
      <c r="O82" s="546"/>
      <c r="P82" s="178"/>
      <c r="Q82" s="179"/>
    </row>
    <row r="83" spans="1:17" ht="10.5" customHeight="1" x14ac:dyDescent="0.25">
      <c r="A83" s="143" t="s">
        <v>2051</v>
      </c>
      <c r="B83" s="549" t="s">
        <v>73</v>
      </c>
      <c r="C83" s="550" t="s">
        <v>3177</v>
      </c>
      <c r="D83" s="532" t="s">
        <v>48</v>
      </c>
      <c r="E83" s="92"/>
      <c r="F83" s="92"/>
      <c r="G83" s="92"/>
      <c r="H83" s="89"/>
      <c r="I83" s="92"/>
      <c r="J83" s="92"/>
      <c r="K83" s="93"/>
      <c r="L83" s="89"/>
      <c r="M83" s="89"/>
      <c r="N83" s="89"/>
      <c r="O83" s="546"/>
      <c r="P83" s="178">
        <f t="shared" ref="P83:P101" si="46">IF(OR(H83="NA",E83="NA",F83="NA",G83="NA"),"NA",SUM(H83)-SUM(E83:G83))</f>
        <v>0</v>
      </c>
      <c r="Q83" s="179">
        <f t="shared" ref="Q83:Q101" si="47">IF(OR(M83="NA",H83="NA",I83="NA",J83="NA",K83="NA",L83="NA"),"NA",SUM(M83)-SUM(H83:L83))</f>
        <v>0</v>
      </c>
    </row>
    <row r="84" spans="1:17" ht="10.5" customHeight="1" x14ac:dyDescent="0.25">
      <c r="A84" s="143" t="s">
        <v>2052</v>
      </c>
      <c r="B84" s="549" t="s">
        <v>644</v>
      </c>
      <c r="C84" s="602" t="s">
        <v>3178</v>
      </c>
      <c r="D84" s="532" t="s">
        <v>48</v>
      </c>
      <c r="E84" s="92"/>
      <c r="F84" s="92"/>
      <c r="G84" s="92"/>
      <c r="H84" s="89"/>
      <c r="I84" s="92"/>
      <c r="J84" s="92"/>
      <c r="K84" s="93"/>
      <c r="L84" s="89"/>
      <c r="M84" s="89"/>
      <c r="N84" s="89"/>
      <c r="O84" s="546"/>
      <c r="P84" s="178">
        <f t="shared" si="46"/>
        <v>0</v>
      </c>
      <c r="Q84" s="179">
        <f t="shared" si="47"/>
        <v>0</v>
      </c>
    </row>
    <row r="85" spans="1:17" ht="10.5" customHeight="1" x14ac:dyDescent="0.25">
      <c r="A85" s="143" t="s">
        <v>2053</v>
      </c>
      <c r="B85" s="549" t="s">
        <v>645</v>
      </c>
      <c r="C85" s="602" t="s">
        <v>3179</v>
      </c>
      <c r="D85" s="532" t="s">
        <v>48</v>
      </c>
      <c r="E85" s="92"/>
      <c r="F85" s="92"/>
      <c r="G85" s="92"/>
      <c r="H85" s="89"/>
      <c r="I85" s="92"/>
      <c r="J85" s="92"/>
      <c r="K85" s="93"/>
      <c r="L85" s="89"/>
      <c r="M85" s="89"/>
      <c r="N85" s="89"/>
      <c r="O85" s="546"/>
      <c r="P85" s="178">
        <f t="shared" si="46"/>
        <v>0</v>
      </c>
      <c r="Q85" s="179">
        <f t="shared" si="47"/>
        <v>0</v>
      </c>
    </row>
    <row r="86" spans="1:17" ht="10.5" customHeight="1" x14ac:dyDescent="0.25">
      <c r="A86" s="143" t="s">
        <v>2054</v>
      </c>
      <c r="B86" s="549" t="s">
        <v>646</v>
      </c>
      <c r="C86" s="602" t="s">
        <v>3180</v>
      </c>
      <c r="D86" s="532" t="s">
        <v>48</v>
      </c>
      <c r="E86" s="92"/>
      <c r="F86" s="92"/>
      <c r="G86" s="92"/>
      <c r="H86" s="89"/>
      <c r="I86" s="92"/>
      <c r="J86" s="92"/>
      <c r="K86" s="93"/>
      <c r="L86" s="89"/>
      <c r="M86" s="89"/>
      <c r="N86" s="89"/>
      <c r="O86" s="546"/>
      <c r="P86" s="178">
        <f t="shared" si="46"/>
        <v>0</v>
      </c>
      <c r="Q86" s="179">
        <f t="shared" si="47"/>
        <v>0</v>
      </c>
    </row>
    <row r="87" spans="1:17" ht="10.5" customHeight="1" x14ac:dyDescent="0.25">
      <c r="A87" s="143" t="s">
        <v>2055</v>
      </c>
      <c r="B87" s="549" t="s">
        <v>6</v>
      </c>
      <c r="C87" s="550" t="s">
        <v>3181</v>
      </c>
      <c r="D87" s="532" t="s">
        <v>48</v>
      </c>
      <c r="E87" s="92"/>
      <c r="F87" s="92"/>
      <c r="G87" s="92"/>
      <c r="H87" s="89"/>
      <c r="I87" s="92"/>
      <c r="J87" s="92"/>
      <c r="K87" s="93"/>
      <c r="L87" s="89"/>
      <c r="M87" s="89"/>
      <c r="N87" s="89"/>
      <c r="O87" s="546"/>
      <c r="P87" s="178">
        <f t="shared" si="46"/>
        <v>0</v>
      </c>
      <c r="Q87" s="179">
        <f t="shared" si="47"/>
        <v>0</v>
      </c>
    </row>
    <row r="88" spans="1:17" ht="10.5" customHeight="1" x14ac:dyDescent="0.25">
      <c r="A88" s="143" t="s">
        <v>2056</v>
      </c>
      <c r="B88" s="549" t="s">
        <v>647</v>
      </c>
      <c r="C88" s="602" t="s">
        <v>3182</v>
      </c>
      <c r="D88" s="532" t="s">
        <v>48</v>
      </c>
      <c r="E88" s="92"/>
      <c r="F88" s="92"/>
      <c r="G88" s="92"/>
      <c r="H88" s="89"/>
      <c r="I88" s="92"/>
      <c r="J88" s="92"/>
      <c r="K88" s="93"/>
      <c r="L88" s="89"/>
      <c r="M88" s="89"/>
      <c r="N88" s="89"/>
      <c r="O88" s="546"/>
      <c r="P88" s="178">
        <f t="shared" si="46"/>
        <v>0</v>
      </c>
      <c r="Q88" s="179">
        <f t="shared" si="47"/>
        <v>0</v>
      </c>
    </row>
    <row r="89" spans="1:17" ht="10.5" customHeight="1" x14ac:dyDescent="0.25">
      <c r="A89" s="143" t="s">
        <v>2057</v>
      </c>
      <c r="B89" s="549" t="s">
        <v>648</v>
      </c>
      <c r="C89" s="602" t="s">
        <v>3183</v>
      </c>
      <c r="D89" s="532" t="s">
        <v>48</v>
      </c>
      <c r="E89" s="92"/>
      <c r="F89" s="92"/>
      <c r="G89" s="92"/>
      <c r="H89" s="89"/>
      <c r="I89" s="92"/>
      <c r="J89" s="92"/>
      <c r="K89" s="93"/>
      <c r="L89" s="89"/>
      <c r="M89" s="89"/>
      <c r="N89" s="89"/>
      <c r="O89" s="546"/>
      <c r="P89" s="178">
        <f t="shared" si="46"/>
        <v>0</v>
      </c>
      <c r="Q89" s="179">
        <f t="shared" si="47"/>
        <v>0</v>
      </c>
    </row>
    <row r="90" spans="1:17" ht="10.5" customHeight="1" x14ac:dyDescent="0.25">
      <c r="A90" s="143" t="s">
        <v>2058</v>
      </c>
      <c r="B90" s="549" t="s">
        <v>649</v>
      </c>
      <c r="C90" s="602" t="s">
        <v>3184</v>
      </c>
      <c r="D90" s="532" t="s">
        <v>48</v>
      </c>
      <c r="E90" s="92"/>
      <c r="F90" s="92"/>
      <c r="G90" s="92"/>
      <c r="H90" s="89"/>
      <c r="I90" s="92"/>
      <c r="J90" s="92"/>
      <c r="K90" s="93"/>
      <c r="L90" s="89"/>
      <c r="M90" s="89"/>
      <c r="N90" s="89"/>
      <c r="O90" s="546"/>
      <c r="P90" s="178">
        <f t="shared" si="46"/>
        <v>0</v>
      </c>
      <c r="Q90" s="179">
        <f t="shared" si="47"/>
        <v>0</v>
      </c>
    </row>
    <row r="91" spans="1:17" ht="10.5" customHeight="1" x14ac:dyDescent="0.25">
      <c r="A91" s="143" t="s">
        <v>2059</v>
      </c>
      <c r="B91" s="549" t="s">
        <v>34</v>
      </c>
      <c r="C91" s="550" t="s">
        <v>3185</v>
      </c>
      <c r="D91" s="532" t="s">
        <v>48</v>
      </c>
      <c r="E91" s="92"/>
      <c r="F91" s="92"/>
      <c r="G91" s="92"/>
      <c r="H91" s="89"/>
      <c r="I91" s="92"/>
      <c r="J91" s="92"/>
      <c r="K91" s="93"/>
      <c r="L91" s="89"/>
      <c r="M91" s="89"/>
      <c r="N91" s="89"/>
      <c r="O91" s="546"/>
      <c r="P91" s="178">
        <f t="shared" si="46"/>
        <v>0</v>
      </c>
      <c r="Q91" s="179">
        <f t="shared" si="47"/>
        <v>0</v>
      </c>
    </row>
    <row r="92" spans="1:17" ht="10.5" customHeight="1" x14ac:dyDescent="0.25">
      <c r="A92" s="143" t="s">
        <v>2060</v>
      </c>
      <c r="B92" s="549" t="s">
        <v>650</v>
      </c>
      <c r="C92" s="602" t="s">
        <v>3186</v>
      </c>
      <c r="D92" s="532" t="s">
        <v>48</v>
      </c>
      <c r="E92" s="92"/>
      <c r="F92" s="92"/>
      <c r="G92" s="92"/>
      <c r="H92" s="89"/>
      <c r="I92" s="92"/>
      <c r="J92" s="92"/>
      <c r="K92" s="93"/>
      <c r="L92" s="89"/>
      <c r="M92" s="89"/>
      <c r="N92" s="89"/>
      <c r="O92" s="546"/>
      <c r="P92" s="178">
        <f t="shared" si="46"/>
        <v>0</v>
      </c>
      <c r="Q92" s="179">
        <f t="shared" si="47"/>
        <v>0</v>
      </c>
    </row>
    <row r="93" spans="1:17" ht="10.5" customHeight="1" x14ac:dyDescent="0.25">
      <c r="A93" s="143" t="s">
        <v>2061</v>
      </c>
      <c r="B93" s="549" t="s">
        <v>651</v>
      </c>
      <c r="C93" s="602" t="s">
        <v>3187</v>
      </c>
      <c r="D93" s="532" t="s">
        <v>48</v>
      </c>
      <c r="E93" s="92"/>
      <c r="F93" s="92"/>
      <c r="G93" s="92"/>
      <c r="H93" s="89"/>
      <c r="I93" s="92"/>
      <c r="J93" s="92"/>
      <c r="K93" s="93"/>
      <c r="L93" s="89"/>
      <c r="M93" s="89"/>
      <c r="N93" s="89"/>
      <c r="O93" s="546"/>
      <c r="P93" s="178">
        <f t="shared" si="46"/>
        <v>0</v>
      </c>
      <c r="Q93" s="179">
        <f t="shared" si="47"/>
        <v>0</v>
      </c>
    </row>
    <row r="94" spans="1:17" ht="10.5" customHeight="1" x14ac:dyDescent="0.25">
      <c r="A94" s="143" t="s">
        <v>2062</v>
      </c>
      <c r="B94" s="549" t="s">
        <v>652</v>
      </c>
      <c r="C94" s="602" t="s">
        <v>3188</v>
      </c>
      <c r="D94" s="532" t="s">
        <v>48</v>
      </c>
      <c r="E94" s="92"/>
      <c r="F94" s="92"/>
      <c r="G94" s="92"/>
      <c r="H94" s="89"/>
      <c r="I94" s="92"/>
      <c r="J94" s="92"/>
      <c r="K94" s="93"/>
      <c r="L94" s="89"/>
      <c r="M94" s="89"/>
      <c r="N94" s="89"/>
      <c r="O94" s="546"/>
      <c r="P94" s="178">
        <f t="shared" si="46"/>
        <v>0</v>
      </c>
      <c r="Q94" s="179">
        <f t="shared" si="47"/>
        <v>0</v>
      </c>
    </row>
    <row r="95" spans="1:17" ht="10.5" customHeight="1" x14ac:dyDescent="0.25">
      <c r="A95" s="143" t="s">
        <v>2063</v>
      </c>
      <c r="B95" s="549" t="s">
        <v>379</v>
      </c>
      <c r="C95" s="550" t="s">
        <v>3189</v>
      </c>
      <c r="D95" s="532" t="s">
        <v>48</v>
      </c>
      <c r="E95" s="92" t="s">
        <v>2622</v>
      </c>
      <c r="F95" s="92" t="s">
        <v>2622</v>
      </c>
      <c r="G95" s="92" t="s">
        <v>2622</v>
      </c>
      <c r="H95" s="89" t="s">
        <v>2622</v>
      </c>
      <c r="I95" s="92" t="s">
        <v>2622</v>
      </c>
      <c r="J95" s="92" t="s">
        <v>2622</v>
      </c>
      <c r="K95" s="93" t="s">
        <v>2622</v>
      </c>
      <c r="L95" s="89" t="s">
        <v>2622</v>
      </c>
      <c r="M95" s="89" t="s">
        <v>2622</v>
      </c>
      <c r="N95" s="89" t="s">
        <v>2622</v>
      </c>
      <c r="O95" s="546"/>
      <c r="P95" s="178" t="str">
        <f t="shared" si="46"/>
        <v>NA</v>
      </c>
      <c r="Q95" s="179" t="str">
        <f t="shared" si="47"/>
        <v>NA</v>
      </c>
    </row>
    <row r="96" spans="1:17" ht="10.5" customHeight="1" x14ac:dyDescent="0.25">
      <c r="A96" s="143" t="s">
        <v>2064</v>
      </c>
      <c r="B96" s="549" t="s">
        <v>654</v>
      </c>
      <c r="C96" s="550" t="s">
        <v>3190</v>
      </c>
      <c r="D96" s="532" t="s">
        <v>48</v>
      </c>
      <c r="E96" s="92"/>
      <c r="F96" s="92"/>
      <c r="G96" s="92"/>
      <c r="H96" s="89"/>
      <c r="I96" s="92"/>
      <c r="J96" s="92"/>
      <c r="K96" s="93"/>
      <c r="L96" s="89"/>
      <c r="M96" s="89"/>
      <c r="N96" s="89"/>
      <c r="O96" s="546"/>
      <c r="P96" s="178">
        <f t="shared" si="46"/>
        <v>0</v>
      </c>
      <c r="Q96" s="179">
        <f t="shared" si="47"/>
        <v>0</v>
      </c>
    </row>
    <row r="97" spans="1:17" ht="10.5" customHeight="1" x14ac:dyDescent="0.25">
      <c r="A97" s="143" t="s">
        <v>2065</v>
      </c>
      <c r="B97" s="549" t="s">
        <v>655</v>
      </c>
      <c r="C97" s="602" t="s">
        <v>3191</v>
      </c>
      <c r="D97" s="532" t="s">
        <v>48</v>
      </c>
      <c r="E97" s="92"/>
      <c r="F97" s="92"/>
      <c r="G97" s="92"/>
      <c r="H97" s="89"/>
      <c r="I97" s="92"/>
      <c r="J97" s="92"/>
      <c r="K97" s="93"/>
      <c r="L97" s="89"/>
      <c r="M97" s="89"/>
      <c r="N97" s="89"/>
      <c r="O97" s="546"/>
      <c r="P97" s="178">
        <f t="shared" si="46"/>
        <v>0</v>
      </c>
      <c r="Q97" s="179">
        <f t="shared" si="47"/>
        <v>0</v>
      </c>
    </row>
    <row r="98" spans="1:17" ht="10.5" customHeight="1" x14ac:dyDescent="0.25">
      <c r="A98" s="143" t="s">
        <v>2066</v>
      </c>
      <c r="B98" s="549" t="s">
        <v>656</v>
      </c>
      <c r="C98" s="602" t="s">
        <v>3192</v>
      </c>
      <c r="D98" s="532" t="s">
        <v>48</v>
      </c>
      <c r="E98" s="92"/>
      <c r="F98" s="92"/>
      <c r="G98" s="92"/>
      <c r="H98" s="89"/>
      <c r="I98" s="92"/>
      <c r="J98" s="92"/>
      <c r="K98" s="93"/>
      <c r="L98" s="89"/>
      <c r="M98" s="89"/>
      <c r="N98" s="89"/>
      <c r="O98" s="546"/>
      <c r="P98" s="178">
        <f t="shared" si="46"/>
        <v>0</v>
      </c>
      <c r="Q98" s="179">
        <f t="shared" si="47"/>
        <v>0</v>
      </c>
    </row>
    <row r="99" spans="1:17" ht="10.5" customHeight="1" x14ac:dyDescent="0.25">
      <c r="A99" s="143" t="s">
        <v>2067</v>
      </c>
      <c r="B99" s="549" t="s">
        <v>657</v>
      </c>
      <c r="C99" s="602" t="s">
        <v>3193</v>
      </c>
      <c r="D99" s="532" t="s">
        <v>48</v>
      </c>
      <c r="E99" s="92"/>
      <c r="F99" s="92"/>
      <c r="G99" s="92"/>
      <c r="H99" s="89"/>
      <c r="I99" s="92"/>
      <c r="J99" s="92"/>
      <c r="K99" s="93"/>
      <c r="L99" s="89"/>
      <c r="M99" s="89"/>
      <c r="N99" s="89"/>
      <c r="O99" s="546"/>
      <c r="P99" s="178">
        <f t="shared" si="46"/>
        <v>0</v>
      </c>
      <c r="Q99" s="179">
        <f t="shared" si="47"/>
        <v>0</v>
      </c>
    </row>
    <row r="100" spans="1:17" ht="10.5" customHeight="1" x14ac:dyDescent="0.25">
      <c r="A100" s="143" t="s">
        <v>2068</v>
      </c>
      <c r="B100" s="549" t="s">
        <v>653</v>
      </c>
      <c r="C100" s="550" t="s">
        <v>3194</v>
      </c>
      <c r="D100" s="532" t="s">
        <v>48</v>
      </c>
      <c r="E100" s="92"/>
      <c r="F100" s="92"/>
      <c r="G100" s="92"/>
      <c r="H100" s="89"/>
      <c r="I100" s="92"/>
      <c r="J100" s="92"/>
      <c r="K100" s="93"/>
      <c r="L100" s="89"/>
      <c r="M100" s="89"/>
      <c r="N100" s="89"/>
      <c r="O100" s="546"/>
      <c r="P100" s="178">
        <f t="shared" si="46"/>
        <v>0</v>
      </c>
      <c r="Q100" s="179">
        <f t="shared" si="47"/>
        <v>0</v>
      </c>
    </row>
    <row r="101" spans="1:17" ht="10.5" customHeight="1" x14ac:dyDescent="0.25">
      <c r="A101" s="143" t="s">
        <v>2069</v>
      </c>
      <c r="B101" s="551" t="s">
        <v>671</v>
      </c>
      <c r="C101" s="552" t="s">
        <v>3195</v>
      </c>
      <c r="D101" s="553" t="s">
        <v>48</v>
      </c>
      <c r="E101" s="152"/>
      <c r="F101" s="152"/>
      <c r="G101" s="152"/>
      <c r="H101" s="152"/>
      <c r="I101" s="152"/>
      <c r="J101" s="152"/>
      <c r="K101" s="149"/>
      <c r="L101" s="148"/>
      <c r="M101" s="148"/>
      <c r="N101" s="148"/>
      <c r="O101" s="546"/>
      <c r="P101" s="181">
        <f t="shared" si="46"/>
        <v>0</v>
      </c>
      <c r="Q101" s="182">
        <f t="shared" si="47"/>
        <v>0</v>
      </c>
    </row>
    <row r="102" spans="1:17" ht="10.5" customHeight="1" x14ac:dyDescent="0.25">
      <c r="A102" s="143"/>
      <c r="B102" s="567" t="s">
        <v>990</v>
      </c>
      <c r="C102" s="610" t="s">
        <v>3196</v>
      </c>
      <c r="D102" s="532"/>
      <c r="E102" s="635" t="s">
        <v>990</v>
      </c>
      <c r="F102" s="635" t="s">
        <v>990</v>
      </c>
      <c r="G102" s="635" t="s">
        <v>990</v>
      </c>
      <c r="H102" s="636" t="s">
        <v>990</v>
      </c>
      <c r="I102" s="635" t="s">
        <v>990</v>
      </c>
      <c r="J102" s="635" t="s">
        <v>990</v>
      </c>
      <c r="K102" s="636" t="s">
        <v>990</v>
      </c>
      <c r="L102" s="635" t="s">
        <v>990</v>
      </c>
      <c r="M102" s="637" t="s">
        <v>990</v>
      </c>
      <c r="N102" s="635" t="s">
        <v>990</v>
      </c>
      <c r="O102" s="546"/>
      <c r="P102" s="178"/>
      <c r="Q102" s="179"/>
    </row>
    <row r="103" spans="1:17" ht="10.5" customHeight="1" x14ac:dyDescent="0.25">
      <c r="A103" s="139" t="s">
        <v>2414</v>
      </c>
      <c r="B103" s="549" t="s">
        <v>1410</v>
      </c>
      <c r="C103" s="550" t="s">
        <v>3197</v>
      </c>
      <c r="D103" s="532" t="s">
        <v>48</v>
      </c>
      <c r="E103" s="92">
        <v>146675.48000000001</v>
      </c>
      <c r="F103" s="92">
        <v>37072.461000000003</v>
      </c>
      <c r="G103" s="92">
        <v>0</v>
      </c>
      <c r="H103" s="89">
        <v>183747.94099999999</v>
      </c>
      <c r="I103" s="92">
        <v>1059.999</v>
      </c>
      <c r="J103" s="92">
        <v>9809.1849999999995</v>
      </c>
      <c r="K103" s="93">
        <v>68589.317999999999</v>
      </c>
      <c r="L103" s="89">
        <v>0</v>
      </c>
      <c r="M103" s="89">
        <v>263206.44300000003</v>
      </c>
      <c r="N103" s="89">
        <v>184807.94</v>
      </c>
      <c r="O103" s="546"/>
      <c r="P103" s="178">
        <f>IF(OR(H103="NA",E103="NA",F103="NA",G103="NA"),"NA",SUM(H103)-SUM(E103:G103))</f>
        <v>-2.9103830456733704E-11</v>
      </c>
      <c r="Q103" s="179">
        <f>IF(OR(M103="NA",H103="NA",I103="NA",J103="NA",K103="NA",L103="NA"),"NA",SUM(M103)-SUM(H103:L103))</f>
        <v>5.8207660913467407E-11</v>
      </c>
    </row>
    <row r="104" spans="1:17" ht="10.5" customHeight="1" x14ac:dyDescent="0.25">
      <c r="A104" s="139" t="s">
        <v>2415</v>
      </c>
      <c r="B104" s="549" t="s">
        <v>1411</v>
      </c>
      <c r="C104" s="550" t="s">
        <v>3198</v>
      </c>
      <c r="D104" s="532" t="s">
        <v>48</v>
      </c>
      <c r="E104" s="92">
        <v>194976.364</v>
      </c>
      <c r="F104" s="92">
        <v>24493.531999999999</v>
      </c>
      <c r="G104" s="92">
        <v>-6935.5889999999999</v>
      </c>
      <c r="H104" s="89">
        <v>212534.307</v>
      </c>
      <c r="I104" s="92">
        <v>17021.364000000001</v>
      </c>
      <c r="J104" s="92">
        <v>46190.49</v>
      </c>
      <c r="K104" s="93">
        <v>106613.02899999999</v>
      </c>
      <c r="L104" s="89">
        <v>-8910.7009999999991</v>
      </c>
      <c r="M104" s="89">
        <v>373448.489</v>
      </c>
      <c r="N104" s="89">
        <v>229555.671</v>
      </c>
      <c r="O104" s="546"/>
      <c r="P104" s="178">
        <f>IF(OR(H104="NA",E104="NA",F104="NA",G104="NA"),"NA",SUM(H104)-SUM(E104:G104))</f>
        <v>0</v>
      </c>
      <c r="Q104" s="179">
        <f>IF(OR(M104="NA",H104="NA",I104="NA",J104="NA",K104="NA",L104="NA"),"NA",SUM(M104)-SUM(H104:L104))</f>
        <v>0</v>
      </c>
    </row>
    <row r="105" spans="1:17" ht="10.5" customHeight="1" x14ac:dyDescent="0.25">
      <c r="A105" s="139" t="s">
        <v>2416</v>
      </c>
      <c r="B105" s="549" t="s">
        <v>1412</v>
      </c>
      <c r="C105" s="550" t="s">
        <v>3199</v>
      </c>
      <c r="D105" s="532" t="s">
        <v>48</v>
      </c>
      <c r="E105" s="92">
        <v>522420.37199999997</v>
      </c>
      <c r="F105" s="92">
        <v>10889.184999999999</v>
      </c>
      <c r="G105" s="92">
        <v>-6935.5889999999999</v>
      </c>
      <c r="H105" s="89">
        <v>526373.96799999999</v>
      </c>
      <c r="I105" s="92">
        <v>10096.638999999999</v>
      </c>
      <c r="J105" s="92">
        <v>19942.712</v>
      </c>
      <c r="K105" s="93">
        <v>40221.273000000001</v>
      </c>
      <c r="L105" s="89">
        <v>-8910.7009999999991</v>
      </c>
      <c r="M105" s="89">
        <v>587723.89099999995</v>
      </c>
      <c r="N105" s="89">
        <v>536470.60699999996</v>
      </c>
      <c r="O105" s="546"/>
      <c r="P105" s="178">
        <f>IF(OR(H105="NA",E105="NA",F105="NA",G105="NA"),"NA",SUM(H105)-SUM(E105:G105))</f>
        <v>0</v>
      </c>
      <c r="Q105" s="179">
        <f>IF(OR(M105="NA",H105="NA",I105="NA",J105="NA",K105="NA",L105="NA"),"NA",SUM(M105)-SUM(H105:L105))</f>
        <v>0</v>
      </c>
    </row>
    <row r="106" spans="1:17" ht="10.5" customHeight="1" x14ac:dyDescent="0.25">
      <c r="A106" s="139" t="s">
        <v>2417</v>
      </c>
      <c r="B106" s="551" t="s">
        <v>1413</v>
      </c>
      <c r="C106" s="552" t="s">
        <v>3200</v>
      </c>
      <c r="D106" s="553" t="s">
        <v>48</v>
      </c>
      <c r="E106" s="152"/>
      <c r="F106" s="152"/>
      <c r="G106" s="152"/>
      <c r="H106" s="152"/>
      <c r="I106" s="152"/>
      <c r="J106" s="152"/>
      <c r="K106" s="149"/>
      <c r="L106" s="148"/>
      <c r="M106" s="148"/>
      <c r="N106" s="148"/>
      <c r="O106" s="546"/>
      <c r="P106" s="181">
        <f>IF(OR(H106="NA",E106="NA",F106="NA",G106="NA"),"NA",SUM(H106)-SUM(E106:G106))</f>
        <v>0</v>
      </c>
      <c r="Q106" s="182">
        <f>IF(OR(M106="NA",H106="NA",I106="NA",J106="NA",K106="NA",L106="NA"),"NA",SUM(M106)-SUM(H106:L106))</f>
        <v>0</v>
      </c>
    </row>
    <row r="107" spans="1:17" ht="10.5" customHeight="1" x14ac:dyDescent="0.25">
      <c r="A107" s="143"/>
      <c r="B107" s="567" t="s">
        <v>990</v>
      </c>
      <c r="C107" s="610" t="s">
        <v>3201</v>
      </c>
      <c r="D107" s="532"/>
      <c r="E107" s="635" t="s">
        <v>990</v>
      </c>
      <c r="F107" s="635" t="s">
        <v>990</v>
      </c>
      <c r="G107" s="635" t="s">
        <v>990</v>
      </c>
      <c r="H107" s="636" t="s">
        <v>990</v>
      </c>
      <c r="I107" s="635" t="s">
        <v>990</v>
      </c>
      <c r="J107" s="635" t="s">
        <v>990</v>
      </c>
      <c r="K107" s="636" t="s">
        <v>990</v>
      </c>
      <c r="L107" s="635" t="s">
        <v>990</v>
      </c>
      <c r="M107" s="637" t="s">
        <v>990</v>
      </c>
      <c r="N107" s="635" t="s">
        <v>990</v>
      </c>
      <c r="O107" s="546"/>
      <c r="P107" s="178"/>
      <c r="Q107" s="179"/>
    </row>
    <row r="108" spans="1:17" s="271" customFormat="1" ht="10.5" hidden="1" customHeight="1" x14ac:dyDescent="0.25">
      <c r="A108" s="139" t="s">
        <v>2070</v>
      </c>
      <c r="B108" s="549" t="s">
        <v>380</v>
      </c>
      <c r="C108" s="550" t="s">
        <v>3202</v>
      </c>
      <c r="D108" s="532" t="s">
        <v>48</v>
      </c>
      <c r="E108" s="424" t="s">
        <v>2622</v>
      </c>
      <c r="F108" s="424" t="s">
        <v>2622</v>
      </c>
      <c r="G108" s="424" t="s">
        <v>2622</v>
      </c>
      <c r="H108" s="424" t="s">
        <v>2622</v>
      </c>
      <c r="I108" s="424" t="s">
        <v>2622</v>
      </c>
      <c r="J108" s="424" t="s">
        <v>2622</v>
      </c>
      <c r="K108" s="424" t="s">
        <v>2622</v>
      </c>
      <c r="L108" s="424" t="s">
        <v>2622</v>
      </c>
      <c r="M108" s="424" t="s">
        <v>2622</v>
      </c>
      <c r="N108" s="424" t="s">
        <v>2622</v>
      </c>
      <c r="O108" s="546"/>
      <c r="P108" s="376" t="str">
        <f t="shared" ref="P108:P115" si="48">IF(OR(H108="NA",E108="NA",F108="NA",G108="NA"),"NA",SUM(H108)-SUM(E108:G108))</f>
        <v>NA</v>
      </c>
      <c r="Q108" s="377" t="str">
        <f t="shared" ref="Q108:Q115" si="49">IF(OR(M108="NA",H108="NA",I108="NA",J108="NA",K108="NA",L108="NA"),"NA",SUM(M108)-SUM(H108:L108))</f>
        <v>NA</v>
      </c>
    </row>
    <row r="109" spans="1:17" s="271" customFormat="1" ht="10.5" hidden="1" customHeight="1" x14ac:dyDescent="0.25">
      <c r="A109" s="139" t="s">
        <v>2071</v>
      </c>
      <c r="B109" s="549" t="s">
        <v>381</v>
      </c>
      <c r="C109" s="602" t="s">
        <v>3203</v>
      </c>
      <c r="D109" s="532" t="s">
        <v>48</v>
      </c>
      <c r="E109" s="424" t="s">
        <v>2622</v>
      </c>
      <c r="F109" s="424" t="s">
        <v>2622</v>
      </c>
      <c r="G109" s="424" t="s">
        <v>2622</v>
      </c>
      <c r="H109" s="424" t="s">
        <v>2622</v>
      </c>
      <c r="I109" s="424" t="s">
        <v>2622</v>
      </c>
      <c r="J109" s="424" t="s">
        <v>2622</v>
      </c>
      <c r="K109" s="424" t="s">
        <v>2622</v>
      </c>
      <c r="L109" s="424" t="s">
        <v>2622</v>
      </c>
      <c r="M109" s="424" t="s">
        <v>2622</v>
      </c>
      <c r="N109" s="424" t="s">
        <v>2622</v>
      </c>
      <c r="O109" s="546"/>
      <c r="P109" s="376" t="str">
        <f t="shared" si="48"/>
        <v>NA</v>
      </c>
      <c r="Q109" s="377" t="str">
        <f t="shared" si="49"/>
        <v>NA</v>
      </c>
    </row>
    <row r="110" spans="1:17" ht="10.5" customHeight="1" x14ac:dyDescent="0.25">
      <c r="A110" s="143" t="s">
        <v>2430</v>
      </c>
      <c r="B110" s="549" t="s">
        <v>7</v>
      </c>
      <c r="C110" s="550" t="s">
        <v>3204</v>
      </c>
      <c r="D110" s="532" t="s">
        <v>48</v>
      </c>
      <c r="E110" s="92"/>
      <c r="F110" s="92"/>
      <c r="G110" s="92"/>
      <c r="H110" s="89"/>
      <c r="I110" s="92"/>
      <c r="J110" s="92"/>
      <c r="K110" s="93"/>
      <c r="L110" s="89"/>
      <c r="M110" s="89"/>
      <c r="N110" s="89"/>
      <c r="O110" s="546"/>
      <c r="P110" s="178">
        <f t="shared" si="48"/>
        <v>0</v>
      </c>
      <c r="Q110" s="179">
        <f t="shared" si="49"/>
        <v>0</v>
      </c>
    </row>
    <row r="111" spans="1:17" ht="10.5" customHeight="1" x14ac:dyDescent="0.25">
      <c r="A111" s="139" t="s">
        <v>1867</v>
      </c>
      <c r="B111" s="549" t="s">
        <v>8</v>
      </c>
      <c r="C111" s="550" t="s">
        <v>3205</v>
      </c>
      <c r="D111" s="532" t="s">
        <v>48</v>
      </c>
      <c r="E111" s="92"/>
      <c r="F111" s="92"/>
      <c r="G111" s="92"/>
      <c r="H111" s="89"/>
      <c r="I111" s="92"/>
      <c r="J111" s="92"/>
      <c r="K111" s="93"/>
      <c r="L111" s="89"/>
      <c r="M111" s="89"/>
      <c r="N111" s="89"/>
      <c r="O111" s="546"/>
      <c r="P111" s="178">
        <f t="shared" si="48"/>
        <v>0</v>
      </c>
      <c r="Q111" s="179">
        <f t="shared" si="49"/>
        <v>0</v>
      </c>
    </row>
    <row r="112" spans="1:17" ht="10.5" customHeight="1" x14ac:dyDescent="0.25">
      <c r="A112" s="143" t="s">
        <v>1950</v>
      </c>
      <c r="B112" s="549" t="s">
        <v>382</v>
      </c>
      <c r="C112" s="602" t="s">
        <v>3206</v>
      </c>
      <c r="D112" s="532" t="s">
        <v>48</v>
      </c>
      <c r="E112" s="92"/>
      <c r="F112" s="92"/>
      <c r="G112" s="92"/>
      <c r="H112" s="89"/>
      <c r="I112" s="92"/>
      <c r="J112" s="92"/>
      <c r="K112" s="93"/>
      <c r="L112" s="89"/>
      <c r="M112" s="89"/>
      <c r="N112" s="89"/>
      <c r="O112" s="546"/>
      <c r="P112" s="188">
        <f t="shared" si="48"/>
        <v>0</v>
      </c>
      <c r="Q112" s="189">
        <f t="shared" si="49"/>
        <v>0</v>
      </c>
    </row>
    <row r="113" spans="1:17" s="271" customFormat="1" ht="10.5" hidden="1" customHeight="1" x14ac:dyDescent="0.25">
      <c r="A113" s="139" t="s">
        <v>1952</v>
      </c>
      <c r="B113" s="549" t="s">
        <v>9</v>
      </c>
      <c r="C113" s="550" t="s">
        <v>3207</v>
      </c>
      <c r="D113" s="532" t="s">
        <v>48</v>
      </c>
      <c r="E113" s="424" t="s">
        <v>2622</v>
      </c>
      <c r="F113" s="424" t="s">
        <v>2622</v>
      </c>
      <c r="G113" s="424" t="s">
        <v>2622</v>
      </c>
      <c r="H113" s="424" t="s">
        <v>2622</v>
      </c>
      <c r="I113" s="424" t="s">
        <v>2622</v>
      </c>
      <c r="J113" s="424" t="s">
        <v>2622</v>
      </c>
      <c r="K113" s="424" t="s">
        <v>2622</v>
      </c>
      <c r="L113" s="424" t="s">
        <v>2622</v>
      </c>
      <c r="M113" s="424" t="s">
        <v>2622</v>
      </c>
      <c r="N113" s="424" t="s">
        <v>2622</v>
      </c>
      <c r="O113" s="434"/>
      <c r="P113" s="376" t="str">
        <f t="shared" si="48"/>
        <v>NA</v>
      </c>
      <c r="Q113" s="377" t="str">
        <f t="shared" si="49"/>
        <v>NA</v>
      </c>
    </row>
    <row r="114" spans="1:17" s="271" customFormat="1" ht="10.5" hidden="1" customHeight="1" x14ac:dyDescent="0.25">
      <c r="A114" s="139" t="s">
        <v>2072</v>
      </c>
      <c r="B114" s="549" t="s">
        <v>10</v>
      </c>
      <c r="C114" s="550" t="s">
        <v>3208</v>
      </c>
      <c r="D114" s="532" t="s">
        <v>48</v>
      </c>
      <c r="E114" s="424" t="s">
        <v>2622</v>
      </c>
      <c r="F114" s="424" t="s">
        <v>2622</v>
      </c>
      <c r="G114" s="424" t="s">
        <v>2622</v>
      </c>
      <c r="H114" s="424" t="s">
        <v>2622</v>
      </c>
      <c r="I114" s="424" t="s">
        <v>2622</v>
      </c>
      <c r="J114" s="424" t="s">
        <v>2622</v>
      </c>
      <c r="K114" s="424" t="s">
        <v>2622</v>
      </c>
      <c r="L114" s="424" t="s">
        <v>2622</v>
      </c>
      <c r="M114" s="424" t="s">
        <v>2622</v>
      </c>
      <c r="N114" s="424" t="s">
        <v>2622</v>
      </c>
      <c r="O114" s="434"/>
      <c r="P114" s="376" t="str">
        <f t="shared" si="48"/>
        <v>NA</v>
      </c>
      <c r="Q114" s="377" t="str">
        <f t="shared" si="49"/>
        <v>NA</v>
      </c>
    </row>
    <row r="115" spans="1:17" s="271" customFormat="1" ht="10.5" hidden="1" customHeight="1" x14ac:dyDescent="0.25">
      <c r="A115" s="139" t="s">
        <v>2073</v>
      </c>
      <c r="B115" s="536" t="s">
        <v>383</v>
      </c>
      <c r="C115" s="608" t="s">
        <v>3209</v>
      </c>
      <c r="D115" s="537" t="s">
        <v>48</v>
      </c>
      <c r="E115" s="424" t="s">
        <v>2622</v>
      </c>
      <c r="F115" s="424" t="s">
        <v>2622</v>
      </c>
      <c r="G115" s="424" t="s">
        <v>2622</v>
      </c>
      <c r="H115" s="424" t="s">
        <v>2622</v>
      </c>
      <c r="I115" s="424" t="s">
        <v>2622</v>
      </c>
      <c r="J115" s="424" t="s">
        <v>2622</v>
      </c>
      <c r="K115" s="424" t="s">
        <v>2622</v>
      </c>
      <c r="L115" s="424" t="s">
        <v>2622</v>
      </c>
      <c r="M115" s="424" t="s">
        <v>2622</v>
      </c>
      <c r="N115" s="424" t="s">
        <v>2622</v>
      </c>
      <c r="O115" s="434"/>
      <c r="P115" s="380" t="str">
        <f t="shared" si="48"/>
        <v>NA</v>
      </c>
      <c r="Q115" s="381" t="str">
        <f t="shared" si="49"/>
        <v>NA</v>
      </c>
    </row>
    <row r="116" spans="1:17" ht="10.5" customHeight="1" x14ac:dyDescent="0.25">
      <c r="B116" s="580"/>
      <c r="C116" s="531"/>
      <c r="D116" s="531"/>
      <c r="E116" s="546"/>
      <c r="F116" s="546"/>
      <c r="G116" s="546"/>
      <c r="H116" s="546"/>
      <c r="I116" s="546"/>
      <c r="J116" s="546"/>
      <c r="K116" s="546"/>
      <c r="L116" s="546"/>
      <c r="M116" s="546"/>
      <c r="N116" s="751"/>
      <c r="O116" s="546"/>
      <c r="P116" s="177"/>
      <c r="Q116" s="177"/>
    </row>
    <row r="117" spans="1:17" s="279" customFormat="1" ht="15" customHeight="1" x14ac:dyDescent="0.2">
      <c r="B117" s="272" t="s">
        <v>3210</v>
      </c>
      <c r="C117" s="195"/>
      <c r="D117" s="284"/>
      <c r="E117" s="285"/>
      <c r="F117" s="285"/>
      <c r="G117" s="285"/>
      <c r="H117" s="285"/>
      <c r="I117" s="285"/>
      <c r="J117" s="285"/>
      <c r="K117" s="239"/>
      <c r="L117" s="239"/>
      <c r="M117" s="239"/>
      <c r="N117" s="240"/>
      <c r="O117" s="259"/>
      <c r="P117" s="259"/>
      <c r="Q117" s="259"/>
    </row>
    <row r="118" spans="1:17" ht="12.95" customHeight="1" x14ac:dyDescent="0.25">
      <c r="B118" s="200" t="s">
        <v>3523</v>
      </c>
      <c r="C118" s="207"/>
      <c r="D118" s="207" t="s">
        <v>48</v>
      </c>
      <c r="E118" s="243"/>
      <c r="F118" s="243"/>
      <c r="G118" s="243"/>
      <c r="H118" s="243"/>
      <c r="I118" s="243"/>
      <c r="J118" s="243"/>
      <c r="K118" s="242"/>
      <c r="L118" s="242"/>
      <c r="M118" s="242"/>
      <c r="N118" s="242"/>
      <c r="O118" s="177"/>
      <c r="P118" s="177"/>
      <c r="Q118" s="177"/>
    </row>
    <row r="119" spans="1:17" ht="10.35" customHeight="1" x14ac:dyDescent="0.25">
      <c r="B119" s="273"/>
      <c r="C119" s="136" t="s">
        <v>816</v>
      </c>
      <c r="D119" s="207" t="s">
        <v>48</v>
      </c>
      <c r="E119" s="243">
        <f t="shared" ref="E119:N119" si="50">IF(OR(E8="NA",E9="NA",E22="NA",E49="NA"),"NA",-SUM(E8)+SUM(E9)+SUM(E22)-SUM(E49))</f>
        <v>0</v>
      </c>
      <c r="F119" s="243">
        <f t="shared" si="50"/>
        <v>4.5474735088646412E-13</v>
      </c>
      <c r="G119" s="243">
        <f t="shared" si="50"/>
        <v>0</v>
      </c>
      <c r="H119" s="243">
        <f t="shared" si="50"/>
        <v>0</v>
      </c>
      <c r="I119" s="243">
        <f t="shared" si="50"/>
        <v>0</v>
      </c>
      <c r="J119" s="243">
        <f t="shared" si="50"/>
        <v>-7.2759576141834259E-12</v>
      </c>
      <c r="K119" s="243">
        <f t="shared" si="50"/>
        <v>1.4551915228366852E-11</v>
      </c>
      <c r="L119" s="243">
        <f t="shared" si="50"/>
        <v>0</v>
      </c>
      <c r="M119" s="243">
        <f t="shared" si="50"/>
        <v>1.1641532182693481E-10</v>
      </c>
      <c r="N119" s="243">
        <f t="shared" si="50"/>
        <v>0</v>
      </c>
      <c r="O119" s="177"/>
      <c r="P119" s="177"/>
      <c r="Q119" s="177"/>
    </row>
    <row r="120" spans="1:17" ht="10.35" customHeight="1" x14ac:dyDescent="0.25">
      <c r="B120" s="210"/>
      <c r="C120" s="136" t="s">
        <v>839</v>
      </c>
      <c r="D120" s="136" t="s">
        <v>48</v>
      </c>
      <c r="E120" s="243">
        <f t="shared" ref="E120:N120" si="51">IF(OR(E22="NA",E31="NA",E40="NA"),"NA",-SUM(E22)+SUM(E31)+SUM(E40))</f>
        <v>-1.2732925824820995E-11</v>
      </c>
      <c r="F120" s="243">
        <f t="shared" si="51"/>
        <v>-1.4210854715202004E-13</v>
      </c>
      <c r="G120" s="243">
        <f t="shared" si="51"/>
        <v>0</v>
      </c>
      <c r="H120" s="243">
        <f t="shared" si="51"/>
        <v>2.3646862246096134E-11</v>
      </c>
      <c r="I120" s="243">
        <f t="shared" si="51"/>
        <v>0</v>
      </c>
      <c r="J120" s="243">
        <f t="shared" si="51"/>
        <v>-6.3423710727761318E-12</v>
      </c>
      <c r="K120" s="243">
        <f t="shared" si="51"/>
        <v>1.8356427489152338E-12</v>
      </c>
      <c r="L120" s="243">
        <f t="shared" si="51"/>
        <v>0</v>
      </c>
      <c r="M120" s="243">
        <f t="shared" si="51"/>
        <v>3.637978807091713E-12</v>
      </c>
      <c r="N120" s="243">
        <f t="shared" si="51"/>
        <v>-5.4569682106375694E-12</v>
      </c>
      <c r="O120" s="177"/>
      <c r="P120" s="177"/>
      <c r="Q120" s="177"/>
    </row>
    <row r="121" spans="1:17" ht="10.35" customHeight="1" x14ac:dyDescent="0.25">
      <c r="B121" s="210"/>
      <c r="C121" s="136" t="s">
        <v>840</v>
      </c>
      <c r="D121" s="136" t="s">
        <v>48</v>
      </c>
      <c r="E121" s="243">
        <f t="shared" ref="E121:N121" si="52">IF(OR(E22="NA",E23="NA",E24="NA",E25="NA",E26="NA",E27="NA",E28="NA",E29="NA",E30="NA"),"NA",-SUM(E22)+SUM(E23)+SUM(E24)+SUM(E25)+SUM(E26)+SUM(E27)+SUM(E28)+SUM(E29)+SUM(E30))</f>
        <v>0</v>
      </c>
      <c r="F121" s="243">
        <f t="shared" si="52"/>
        <v>4.5474735088646412E-13</v>
      </c>
      <c r="G121" s="243">
        <f t="shared" si="52"/>
        <v>0</v>
      </c>
      <c r="H121" s="243">
        <f t="shared" si="52"/>
        <v>1.4551915228366852E-11</v>
      </c>
      <c r="I121" s="243">
        <f t="shared" si="52"/>
        <v>-3.637978807091713E-12</v>
      </c>
      <c r="J121" s="243">
        <f t="shared" si="52"/>
        <v>0</v>
      </c>
      <c r="K121" s="243">
        <f t="shared" si="52"/>
        <v>0</v>
      </c>
      <c r="L121" s="243">
        <f t="shared" si="52"/>
        <v>0</v>
      </c>
      <c r="M121" s="243">
        <f t="shared" si="52"/>
        <v>0</v>
      </c>
      <c r="N121" s="243">
        <f t="shared" si="52"/>
        <v>0</v>
      </c>
      <c r="O121" s="177"/>
      <c r="P121" s="177"/>
      <c r="Q121" s="177"/>
    </row>
    <row r="122" spans="1:17" ht="10.35" customHeight="1" x14ac:dyDescent="0.25">
      <c r="B122" s="210"/>
      <c r="C122" s="207" t="s">
        <v>826</v>
      </c>
      <c r="D122" s="207" t="s">
        <v>48</v>
      </c>
      <c r="E122" s="243">
        <f t="shared" ref="E122:N122" si="53">IF(OR(E49="NA",E63="NA",E71="NA"),"NA",-SUM(E49)+SUM(E63)+SUM(E71))</f>
        <v>0</v>
      </c>
      <c r="F122" s="243">
        <f t="shared" si="53"/>
        <v>-8.486961133868931E-14</v>
      </c>
      <c r="G122" s="243">
        <f t="shared" si="53"/>
        <v>0</v>
      </c>
      <c r="H122" s="243">
        <f t="shared" si="53"/>
        <v>5.8207660913467407E-11</v>
      </c>
      <c r="I122" s="243">
        <f t="shared" si="53"/>
        <v>1.7434942378713458E-12</v>
      </c>
      <c r="J122" s="243">
        <f t="shared" si="53"/>
        <v>-1.0231815394945443E-12</v>
      </c>
      <c r="K122" s="243">
        <f t="shared" si="53"/>
        <v>-9.0949470177292824E-13</v>
      </c>
      <c r="L122" s="243">
        <f t="shared" si="53"/>
        <v>0</v>
      </c>
      <c r="M122" s="243">
        <f t="shared" si="53"/>
        <v>0</v>
      </c>
      <c r="N122" s="243">
        <f t="shared" si="53"/>
        <v>0</v>
      </c>
      <c r="O122" s="177"/>
      <c r="P122" s="177"/>
      <c r="Q122" s="177"/>
    </row>
    <row r="123" spans="1:17" ht="10.35" customHeight="1" x14ac:dyDescent="0.25">
      <c r="B123" s="210"/>
      <c r="C123" s="136" t="s">
        <v>827</v>
      </c>
      <c r="D123" s="207" t="s">
        <v>48</v>
      </c>
      <c r="E123" s="243">
        <f t="shared" ref="E123:N123" si="54">IF(OR(E49="NA",E50="NA",E51="NA",E52="NA",E53="NA",E54="NA",E55="NA",E61="NA",E62="NA"),"NA",-SUM(E49)+SUM(E50)+SUM(E51)+SUM(E52)+SUM(E53)+SUM(E54)+SUM(E55)+SUM(E61)+SUM(E62))</f>
        <v>-2.9103830456733704E-11</v>
      </c>
      <c r="F123" s="243">
        <f t="shared" si="54"/>
        <v>-2.2737367544323206E-13</v>
      </c>
      <c r="G123" s="243">
        <f t="shared" si="54"/>
        <v>0</v>
      </c>
      <c r="H123" s="243">
        <f t="shared" si="54"/>
        <v>5.8207660913467407E-11</v>
      </c>
      <c r="I123" s="243">
        <f t="shared" si="54"/>
        <v>0</v>
      </c>
      <c r="J123" s="243">
        <f t="shared" si="54"/>
        <v>3.637978807091713E-12</v>
      </c>
      <c r="K123" s="243">
        <f t="shared" si="54"/>
        <v>-1.8189894035458565E-12</v>
      </c>
      <c r="L123" s="243">
        <f t="shared" si="54"/>
        <v>0</v>
      </c>
      <c r="M123" s="243">
        <f t="shared" si="54"/>
        <v>-2.9103830456733704E-11</v>
      </c>
      <c r="N123" s="243">
        <f t="shared" si="54"/>
        <v>0</v>
      </c>
      <c r="O123" s="177"/>
      <c r="P123" s="177"/>
      <c r="Q123" s="177"/>
    </row>
    <row r="124" spans="1:17" ht="10.35" customHeight="1" x14ac:dyDescent="0.25">
      <c r="B124" s="200" t="s">
        <v>3552</v>
      </c>
      <c r="C124" s="136"/>
      <c r="D124" s="207"/>
      <c r="E124" s="243"/>
      <c r="F124" s="243"/>
      <c r="G124" s="243"/>
      <c r="H124" s="243"/>
      <c r="I124" s="243"/>
      <c r="J124" s="243"/>
      <c r="K124" s="243"/>
      <c r="L124" s="243"/>
      <c r="M124" s="243"/>
      <c r="N124" s="243"/>
      <c r="O124" s="177"/>
      <c r="P124" s="177"/>
      <c r="Q124" s="177"/>
    </row>
    <row r="125" spans="1:17" ht="10.35" customHeight="1" x14ac:dyDescent="0.25">
      <c r="B125" s="274"/>
      <c r="C125" s="136" t="s">
        <v>817</v>
      </c>
      <c r="D125" s="136" t="s">
        <v>48</v>
      </c>
      <c r="E125" s="243">
        <f t="shared" ref="E125:N125" si="55">IF(OR(E9="NA",E10="NA",E15="NA",E16="NA",E17="NA"),"NA",-SUM(E9)+SUM(E10)+SUM(E15)+SUM(E16)+SUM(E17))</f>
        <v>-3.637978807091713E-12</v>
      </c>
      <c r="F125" s="243">
        <f t="shared" si="55"/>
        <v>1.1368683772161603E-13</v>
      </c>
      <c r="G125" s="243">
        <f t="shared" si="55"/>
        <v>0</v>
      </c>
      <c r="H125" s="243">
        <f t="shared" si="55"/>
        <v>-9.0949470177292824E-13</v>
      </c>
      <c r="I125" s="243">
        <f t="shared" si="55"/>
        <v>-1.9895196601282805E-13</v>
      </c>
      <c r="J125" s="243">
        <f t="shared" si="55"/>
        <v>4.5474735088646412E-13</v>
      </c>
      <c r="K125" s="243">
        <f t="shared" si="55"/>
        <v>-1.4551915228366852E-11</v>
      </c>
      <c r="L125" s="243">
        <f t="shared" si="55"/>
        <v>0</v>
      </c>
      <c r="M125" s="243">
        <f t="shared" si="55"/>
        <v>1.8189894035458565E-11</v>
      </c>
      <c r="N125" s="243">
        <f t="shared" si="55"/>
        <v>8.1854523159563541E-12</v>
      </c>
      <c r="O125" s="177"/>
      <c r="P125" s="177"/>
      <c r="Q125" s="177"/>
    </row>
    <row r="126" spans="1:17" ht="10.35" customHeight="1" x14ac:dyDescent="0.25">
      <c r="B126" s="274"/>
      <c r="C126" s="136" t="s">
        <v>838</v>
      </c>
      <c r="D126" s="136" t="s">
        <v>48</v>
      </c>
      <c r="E126" s="243">
        <f t="shared" ref="E126:N126" si="56">IF(OR(E10="NA",E11="NA",E12="NA",E13="NA",E14="NA"),"NA",-SUM(E10)+SUM(E11)+SUM(E12)+SUM(E13)+SUM(E14))</f>
        <v>-1.3585577107733116E-11</v>
      </c>
      <c r="F126" s="243">
        <f t="shared" si="56"/>
        <v>1.1013412404281553E-13</v>
      </c>
      <c r="G126" s="243">
        <f t="shared" si="56"/>
        <v>0</v>
      </c>
      <c r="H126" s="243">
        <f t="shared" si="56"/>
        <v>-4.2632564145606011E-12</v>
      </c>
      <c r="I126" s="243">
        <f t="shared" si="56"/>
        <v>5.1958437552457326E-13</v>
      </c>
      <c r="J126" s="243">
        <f t="shared" si="56"/>
        <v>2.5295321393059567E-12</v>
      </c>
      <c r="K126" s="243">
        <f t="shared" si="56"/>
        <v>1.0231815394945443E-11</v>
      </c>
      <c r="L126" s="243">
        <f t="shared" si="56"/>
        <v>0</v>
      </c>
      <c r="M126" s="243">
        <f t="shared" si="56"/>
        <v>-7.2759576141834259E-12</v>
      </c>
      <c r="N126" s="243">
        <f t="shared" si="56"/>
        <v>-3.0695446184836328E-12</v>
      </c>
      <c r="O126" s="177"/>
      <c r="P126" s="177"/>
      <c r="Q126" s="177"/>
    </row>
    <row r="127" spans="1:17" ht="10.35" customHeight="1" x14ac:dyDescent="0.25">
      <c r="B127" s="274"/>
      <c r="C127" s="136" t="s">
        <v>818</v>
      </c>
      <c r="D127" s="136" t="s">
        <v>48</v>
      </c>
      <c r="E127" s="243">
        <f t="shared" ref="E127:N127" si="57">IF(OR(E17="NA",E18="NA",E19="NA",E20="NA",E21="NA"),"NA",-SUM(E17)+SUM(E18)+SUM(E19)+SUM(E20)+SUM(E21))</f>
        <v>-4.5474735088646412E-13</v>
      </c>
      <c r="F127" s="243">
        <f t="shared" si="57"/>
        <v>-2.4868995751603507E-14</v>
      </c>
      <c r="G127" s="243">
        <f t="shared" si="57"/>
        <v>0</v>
      </c>
      <c r="H127" s="243">
        <f t="shared" si="57"/>
        <v>-4.5474735088646412E-13</v>
      </c>
      <c r="I127" s="243">
        <f t="shared" si="57"/>
        <v>3.1086244689504383E-15</v>
      </c>
      <c r="J127" s="243">
        <f t="shared" si="57"/>
        <v>-1.4921397450962104E-13</v>
      </c>
      <c r="K127" s="243">
        <f t="shared" si="57"/>
        <v>1.4210854715202004E-13</v>
      </c>
      <c r="L127" s="243">
        <f t="shared" si="57"/>
        <v>0</v>
      </c>
      <c r="M127" s="243">
        <f t="shared" si="57"/>
        <v>-4.5474735088646412E-13</v>
      </c>
      <c r="N127" s="243">
        <f t="shared" si="57"/>
        <v>2.2737367544323206E-13</v>
      </c>
      <c r="O127" s="177"/>
      <c r="P127" s="177"/>
      <c r="Q127" s="177"/>
    </row>
    <row r="128" spans="1:17" ht="10.35" customHeight="1" x14ac:dyDescent="0.25">
      <c r="B128" s="210"/>
      <c r="C128" s="136" t="s">
        <v>841</v>
      </c>
      <c r="D128" s="136"/>
      <c r="E128" s="243">
        <f t="shared" ref="E128:N128" si="58">IF(OR(E23="NA",E32="NA",E41="NA"),"NA",-SUM(E23)+SUM(E32)+SUM(E41))</f>
        <v>0</v>
      </c>
      <c r="F128" s="243">
        <f t="shared" si="58"/>
        <v>0</v>
      </c>
      <c r="G128" s="243">
        <f t="shared" si="58"/>
        <v>0</v>
      </c>
      <c r="H128" s="243">
        <f t="shared" si="58"/>
        <v>0</v>
      </c>
      <c r="I128" s="243">
        <f t="shared" si="58"/>
        <v>0</v>
      </c>
      <c r="J128" s="243">
        <f t="shared" si="58"/>
        <v>0</v>
      </c>
      <c r="K128" s="243">
        <f t="shared" si="58"/>
        <v>0</v>
      </c>
      <c r="L128" s="243">
        <f t="shared" si="58"/>
        <v>0</v>
      </c>
      <c r="M128" s="243">
        <f t="shared" si="58"/>
        <v>0</v>
      </c>
      <c r="N128" s="243">
        <f t="shared" si="58"/>
        <v>0</v>
      </c>
      <c r="O128" s="177"/>
      <c r="P128" s="177"/>
      <c r="Q128" s="177"/>
    </row>
    <row r="129" spans="2:17" ht="10.35" customHeight="1" x14ac:dyDescent="0.25">
      <c r="B129" s="210"/>
      <c r="C129" s="136" t="s">
        <v>819</v>
      </c>
      <c r="D129" s="136" t="s">
        <v>48</v>
      </c>
      <c r="E129" s="243">
        <f t="shared" ref="E129:N129" si="59">IF(OR(E24="NA",E33="NA",E42="NA"),"NA",-SUM(E24)+SUM(E33)+SUM(E42))</f>
        <v>-1.8189894035458565E-12</v>
      </c>
      <c r="F129" s="243">
        <f t="shared" si="59"/>
        <v>7.5495165674510645E-15</v>
      </c>
      <c r="G129" s="243">
        <f t="shared" si="59"/>
        <v>0</v>
      </c>
      <c r="H129" s="243">
        <f t="shared" si="59"/>
        <v>-1.8189894035458565E-12</v>
      </c>
      <c r="I129" s="243">
        <f t="shared" si="59"/>
        <v>0</v>
      </c>
      <c r="J129" s="243">
        <f t="shared" si="59"/>
        <v>-8.8540286213856234E-13</v>
      </c>
      <c r="K129" s="243">
        <f t="shared" si="59"/>
        <v>1.6653345369377348E-14</v>
      </c>
      <c r="L129" s="243">
        <f t="shared" si="59"/>
        <v>0</v>
      </c>
      <c r="M129" s="243">
        <f t="shared" si="59"/>
        <v>-2.7284841053187847E-12</v>
      </c>
      <c r="N129" s="243">
        <f t="shared" si="59"/>
        <v>1.8189894035458565E-12</v>
      </c>
      <c r="O129" s="177"/>
      <c r="P129" s="177"/>
      <c r="Q129" s="177"/>
    </row>
    <row r="130" spans="2:17" ht="10.35" customHeight="1" x14ac:dyDescent="0.25">
      <c r="B130" s="210"/>
      <c r="C130" s="136" t="s">
        <v>820</v>
      </c>
      <c r="D130" s="136" t="s">
        <v>48</v>
      </c>
      <c r="E130" s="243">
        <f t="shared" ref="E130:N130" si="60">IF(OR(E25="NA",E34="NA",E43="NA"),"NA",-SUM(E25)+SUM(E34)+SUM(E43))</f>
        <v>-1.5347723092418164E-12</v>
      </c>
      <c r="F130" s="243">
        <f t="shared" si="60"/>
        <v>-1.4210854715202004E-13</v>
      </c>
      <c r="G130" s="243">
        <f t="shared" si="60"/>
        <v>0</v>
      </c>
      <c r="H130" s="243">
        <f t="shared" si="60"/>
        <v>-1.7053025658242404E-12</v>
      </c>
      <c r="I130" s="243">
        <f t="shared" si="60"/>
        <v>0</v>
      </c>
      <c r="J130" s="243">
        <f t="shared" si="60"/>
        <v>0</v>
      </c>
      <c r="K130" s="243">
        <f t="shared" si="60"/>
        <v>0</v>
      </c>
      <c r="L130" s="243">
        <f t="shared" si="60"/>
        <v>0</v>
      </c>
      <c r="M130" s="243">
        <f t="shared" si="60"/>
        <v>-1.7053025658242404E-12</v>
      </c>
      <c r="N130" s="243">
        <f t="shared" si="60"/>
        <v>-1.7053025658242404E-12</v>
      </c>
      <c r="O130" s="177"/>
      <c r="P130" s="177"/>
      <c r="Q130" s="177"/>
    </row>
    <row r="131" spans="2:17" ht="10.35" customHeight="1" x14ac:dyDescent="0.25">
      <c r="B131" s="210"/>
      <c r="C131" s="136" t="s">
        <v>821</v>
      </c>
      <c r="D131" s="136" t="s">
        <v>48</v>
      </c>
      <c r="E131" s="243">
        <f t="shared" ref="E131:N131" si="61">IF(OR(E26="NA",E35="NA",E44="NA"),"NA",-SUM(E26)+SUM(E35)+SUM(E44))</f>
        <v>0</v>
      </c>
      <c r="F131" s="243">
        <f t="shared" si="61"/>
        <v>0</v>
      </c>
      <c r="G131" s="243">
        <f t="shared" si="61"/>
        <v>0</v>
      </c>
      <c r="H131" s="243">
        <f t="shared" si="61"/>
        <v>0</v>
      </c>
      <c r="I131" s="243">
        <f t="shared" si="61"/>
        <v>0</v>
      </c>
      <c r="J131" s="243">
        <f t="shared" si="61"/>
        <v>0</v>
      </c>
      <c r="K131" s="243">
        <f t="shared" si="61"/>
        <v>0</v>
      </c>
      <c r="L131" s="243">
        <f t="shared" si="61"/>
        <v>0</v>
      </c>
      <c r="M131" s="243">
        <f t="shared" si="61"/>
        <v>0</v>
      </c>
      <c r="N131" s="243">
        <f t="shared" si="61"/>
        <v>0</v>
      </c>
      <c r="O131" s="177"/>
      <c r="P131" s="177"/>
      <c r="Q131" s="177"/>
    </row>
    <row r="132" spans="2:17" ht="10.35" customHeight="1" x14ac:dyDescent="0.25">
      <c r="B132" s="210"/>
      <c r="C132" s="136" t="s">
        <v>822</v>
      </c>
      <c r="D132" s="136" t="s">
        <v>48</v>
      </c>
      <c r="E132" s="243">
        <f t="shared" ref="E132:N132" si="62">IF(OR(E27="NA",E36="NA",E45="NA"),"NA",-SUM(E27)+SUM(E36)+SUM(E45))</f>
        <v>-2.2737367544323206E-12</v>
      </c>
      <c r="F132" s="243">
        <f t="shared" si="62"/>
        <v>0</v>
      </c>
      <c r="G132" s="243">
        <f t="shared" si="62"/>
        <v>0</v>
      </c>
      <c r="H132" s="243">
        <f t="shared" si="62"/>
        <v>-2.2737367544323206E-12</v>
      </c>
      <c r="I132" s="243">
        <f t="shared" si="62"/>
        <v>0</v>
      </c>
      <c r="J132" s="243">
        <f t="shared" si="62"/>
        <v>0</v>
      </c>
      <c r="K132" s="243">
        <f t="shared" si="62"/>
        <v>0</v>
      </c>
      <c r="L132" s="243">
        <f t="shared" si="62"/>
        <v>0</v>
      </c>
      <c r="M132" s="243">
        <f t="shared" si="62"/>
        <v>-2.2737367544323206E-12</v>
      </c>
      <c r="N132" s="243">
        <f t="shared" si="62"/>
        <v>-2.2737367544323206E-12</v>
      </c>
      <c r="O132" s="177"/>
      <c r="P132" s="177"/>
      <c r="Q132" s="177"/>
    </row>
    <row r="133" spans="2:17" ht="10.35" customHeight="1" x14ac:dyDescent="0.25">
      <c r="B133" s="210"/>
      <c r="C133" s="136" t="s">
        <v>823</v>
      </c>
      <c r="D133" s="136" t="s">
        <v>48</v>
      </c>
      <c r="E133" s="243">
        <f t="shared" ref="E133:N133" si="63">IF(OR(E28="NA",E37="NA",E46="NA"),"NA",-SUM(E28)+SUM(E37)+SUM(E46))</f>
        <v>0</v>
      </c>
      <c r="F133" s="243">
        <f t="shared" si="63"/>
        <v>0</v>
      </c>
      <c r="G133" s="243">
        <f t="shared" si="63"/>
        <v>0</v>
      </c>
      <c r="H133" s="243">
        <f t="shared" si="63"/>
        <v>0</v>
      </c>
      <c r="I133" s="243">
        <f t="shared" si="63"/>
        <v>0</v>
      </c>
      <c r="J133" s="243">
        <f t="shared" si="63"/>
        <v>0</v>
      </c>
      <c r="K133" s="243">
        <f t="shared" si="63"/>
        <v>0</v>
      </c>
      <c r="L133" s="243">
        <f t="shared" si="63"/>
        <v>0</v>
      </c>
      <c r="M133" s="243">
        <f t="shared" si="63"/>
        <v>0</v>
      </c>
      <c r="N133" s="243">
        <f t="shared" si="63"/>
        <v>0</v>
      </c>
      <c r="O133" s="177"/>
      <c r="P133" s="177"/>
      <c r="Q133" s="177"/>
    </row>
    <row r="134" spans="2:17" ht="10.35" customHeight="1" x14ac:dyDescent="0.25">
      <c r="B134" s="210"/>
      <c r="C134" s="136" t="s">
        <v>824</v>
      </c>
      <c r="D134" s="136" t="s">
        <v>48</v>
      </c>
      <c r="E134" s="243">
        <f t="shared" ref="E134:N134" si="64">IF(OR(E29="NA",E38="NA",E47="NA"),"NA",-SUM(E29)+SUM(E38)+SUM(E47))</f>
        <v>0</v>
      </c>
      <c r="F134" s="243">
        <f t="shared" si="64"/>
        <v>0</v>
      </c>
      <c r="G134" s="243">
        <f t="shared" si="64"/>
        <v>0</v>
      </c>
      <c r="H134" s="243">
        <f t="shared" si="64"/>
        <v>0</v>
      </c>
      <c r="I134" s="243">
        <f t="shared" si="64"/>
        <v>0</v>
      </c>
      <c r="J134" s="243">
        <f t="shared" si="64"/>
        <v>0</v>
      </c>
      <c r="K134" s="243">
        <f t="shared" si="64"/>
        <v>0</v>
      </c>
      <c r="L134" s="243">
        <f t="shared" si="64"/>
        <v>0</v>
      </c>
      <c r="M134" s="243">
        <f t="shared" si="64"/>
        <v>0</v>
      </c>
      <c r="N134" s="243">
        <f t="shared" si="64"/>
        <v>0</v>
      </c>
      <c r="O134" s="177"/>
      <c r="P134" s="177"/>
      <c r="Q134" s="177"/>
    </row>
    <row r="135" spans="2:17" ht="10.35" customHeight="1" x14ac:dyDescent="0.25">
      <c r="B135" s="210"/>
      <c r="C135" s="136" t="s">
        <v>825</v>
      </c>
      <c r="D135" s="136" t="s">
        <v>48</v>
      </c>
      <c r="E135" s="243">
        <f t="shared" ref="E135:N135" si="65">IF(OR(E30="NA",E39="NA",E48="NA"),"NA",-SUM(E30)+SUM(E39)+SUM(E48))</f>
        <v>0</v>
      </c>
      <c r="F135" s="243">
        <f t="shared" si="65"/>
        <v>0</v>
      </c>
      <c r="G135" s="243">
        <f t="shared" si="65"/>
        <v>0</v>
      </c>
      <c r="H135" s="243">
        <f t="shared" si="65"/>
        <v>0</v>
      </c>
      <c r="I135" s="243">
        <f t="shared" si="65"/>
        <v>0</v>
      </c>
      <c r="J135" s="243">
        <f t="shared" si="65"/>
        <v>0</v>
      </c>
      <c r="K135" s="243">
        <f t="shared" si="65"/>
        <v>0</v>
      </c>
      <c r="L135" s="243">
        <f t="shared" si="65"/>
        <v>0</v>
      </c>
      <c r="M135" s="243">
        <f t="shared" si="65"/>
        <v>0</v>
      </c>
      <c r="N135" s="243">
        <f t="shared" si="65"/>
        <v>0</v>
      </c>
      <c r="O135" s="177"/>
      <c r="P135" s="177"/>
      <c r="Q135" s="177"/>
    </row>
    <row r="136" spans="2:17" ht="10.35" customHeight="1" x14ac:dyDescent="0.25">
      <c r="B136" s="274"/>
      <c r="C136" s="136" t="s">
        <v>842</v>
      </c>
      <c r="D136" s="136" t="s">
        <v>48</v>
      </c>
      <c r="E136" s="243">
        <f t="shared" ref="E136:N136" si="66">IF(OR(E31="NA",E32="NA",E33="NA",E34="NA",E35="NA",E36="NA",E37="NA",E38="NA",E39="NA"),"NA",-SUM(E31)+SUM(E32)+SUM(E33)+SUM(E34)+SUM(E35)+SUM(E36)+SUM(E37)+SUM(E38)+SUM(E39))</f>
        <v>0</v>
      </c>
      <c r="F136" s="243">
        <f t="shared" si="66"/>
        <v>4.5474735088646412E-13</v>
      </c>
      <c r="G136" s="243">
        <f t="shared" si="66"/>
        <v>0</v>
      </c>
      <c r="H136" s="243">
        <f t="shared" si="66"/>
        <v>-1.4551915228366852E-11</v>
      </c>
      <c r="I136" s="243">
        <f t="shared" si="66"/>
        <v>-3.637978807091713E-12</v>
      </c>
      <c r="J136" s="243">
        <f t="shared" si="66"/>
        <v>7.2759576141834259E-12</v>
      </c>
      <c r="K136" s="243">
        <f t="shared" si="66"/>
        <v>0</v>
      </c>
      <c r="L136" s="243">
        <f t="shared" si="66"/>
        <v>0</v>
      </c>
      <c r="M136" s="243">
        <f t="shared" si="66"/>
        <v>-5.8207660913467407E-11</v>
      </c>
      <c r="N136" s="243">
        <f t="shared" si="66"/>
        <v>0</v>
      </c>
      <c r="O136" s="177"/>
      <c r="P136" s="177"/>
      <c r="Q136" s="177"/>
    </row>
    <row r="137" spans="2:17" ht="10.35" customHeight="1" x14ac:dyDescent="0.25">
      <c r="B137" s="274"/>
      <c r="C137" s="136" t="s">
        <v>843</v>
      </c>
      <c r="D137" s="136" t="s">
        <v>48</v>
      </c>
      <c r="E137" s="243">
        <f t="shared" ref="E137:N137" si="67">IF(OR(E40="NA",E41="NA",E42="NA",E43="NA",E44="NA",E45="NA",E46="NA",E47="NA",E48="NA"),"NA",-SUM(E40)+SUM(E41)+SUM(E42)+SUM(E43)+SUM(E44)+SUM(E45)+SUM(E46)+SUM(E47)+SUM(E48))</f>
        <v>0</v>
      </c>
      <c r="F137" s="243">
        <f t="shared" si="67"/>
        <v>0</v>
      </c>
      <c r="G137" s="243">
        <f t="shared" si="67"/>
        <v>0</v>
      </c>
      <c r="H137" s="243">
        <f t="shared" si="67"/>
        <v>-4.5474735088646412E-13</v>
      </c>
      <c r="I137" s="243">
        <f t="shared" si="67"/>
        <v>0</v>
      </c>
      <c r="J137" s="243">
        <f t="shared" si="67"/>
        <v>0</v>
      </c>
      <c r="K137" s="243">
        <f t="shared" si="67"/>
        <v>0</v>
      </c>
      <c r="L137" s="243">
        <f t="shared" si="67"/>
        <v>0</v>
      </c>
      <c r="M137" s="243">
        <f t="shared" si="67"/>
        <v>4.5474735088646412E-13</v>
      </c>
      <c r="N137" s="243">
        <f t="shared" si="67"/>
        <v>-4.5474735088646412E-13</v>
      </c>
      <c r="O137" s="177"/>
      <c r="P137" s="177"/>
      <c r="Q137" s="177"/>
    </row>
    <row r="138" spans="2:17" ht="10.35" customHeight="1" x14ac:dyDescent="0.25">
      <c r="B138" s="210"/>
      <c r="C138" s="136" t="s">
        <v>828</v>
      </c>
      <c r="D138" s="207" t="s">
        <v>48</v>
      </c>
      <c r="E138" s="243">
        <f t="shared" ref="E138:N138" si="68">IF(OR(E50="NA",E72="NA"),"NA",-SUM(E50)+SUM(E72))</f>
        <v>0</v>
      </c>
      <c r="F138" s="243">
        <f t="shared" si="68"/>
        <v>0</v>
      </c>
      <c r="G138" s="243">
        <f t="shared" si="68"/>
        <v>0</v>
      </c>
      <c r="H138" s="243">
        <f t="shared" si="68"/>
        <v>0</v>
      </c>
      <c r="I138" s="243">
        <f t="shared" si="68"/>
        <v>0</v>
      </c>
      <c r="J138" s="243">
        <f t="shared" si="68"/>
        <v>0</v>
      </c>
      <c r="K138" s="243">
        <f t="shared" si="68"/>
        <v>0</v>
      </c>
      <c r="L138" s="243">
        <f t="shared" si="68"/>
        <v>0</v>
      </c>
      <c r="M138" s="243">
        <f t="shared" si="68"/>
        <v>0</v>
      </c>
      <c r="N138" s="243">
        <f t="shared" si="68"/>
        <v>0</v>
      </c>
      <c r="O138" s="177"/>
      <c r="P138" s="177"/>
      <c r="Q138" s="177"/>
    </row>
    <row r="139" spans="2:17" ht="10.35" customHeight="1" x14ac:dyDescent="0.25">
      <c r="B139" s="210"/>
      <c r="C139" s="136" t="s">
        <v>829</v>
      </c>
      <c r="D139" s="207" t="s">
        <v>48</v>
      </c>
      <c r="E139" s="243">
        <f t="shared" ref="E139:N139" si="69">IF(OR(E51="NA",E64="NA",E73="NA"),"NA",-SUM(E51)+SUM(E64)+SUM(E73))</f>
        <v>0</v>
      </c>
      <c r="F139" s="243">
        <f t="shared" si="69"/>
        <v>0</v>
      </c>
      <c r="G139" s="243">
        <f t="shared" si="69"/>
        <v>0</v>
      </c>
      <c r="H139" s="243">
        <f t="shared" si="69"/>
        <v>0</v>
      </c>
      <c r="I139" s="243">
        <f t="shared" si="69"/>
        <v>0</v>
      </c>
      <c r="J139" s="243">
        <f t="shared" si="69"/>
        <v>0</v>
      </c>
      <c r="K139" s="243">
        <f t="shared" si="69"/>
        <v>0</v>
      </c>
      <c r="L139" s="243">
        <f t="shared" si="69"/>
        <v>0</v>
      </c>
      <c r="M139" s="243">
        <f t="shared" si="69"/>
        <v>0</v>
      </c>
      <c r="N139" s="243">
        <f t="shared" si="69"/>
        <v>0</v>
      </c>
      <c r="O139" s="177"/>
      <c r="P139" s="177"/>
      <c r="Q139" s="177"/>
    </row>
    <row r="140" spans="2:17" ht="10.35" customHeight="1" x14ac:dyDescent="0.25">
      <c r="B140" s="210"/>
      <c r="C140" s="136" t="s">
        <v>830</v>
      </c>
      <c r="D140" s="207" t="s">
        <v>48</v>
      </c>
      <c r="E140" s="243">
        <f t="shared" ref="E140:N140" si="70">IF(OR(E52="NA",E65="NA",E74="NA"),"NA",-SUM(E52)+SUM(E65)+SUM(E74))</f>
        <v>1.4551915228366852E-11</v>
      </c>
      <c r="F140" s="243">
        <f t="shared" si="70"/>
        <v>0</v>
      </c>
      <c r="G140" s="243">
        <f t="shared" si="70"/>
        <v>0</v>
      </c>
      <c r="H140" s="243">
        <f t="shared" si="70"/>
        <v>0</v>
      </c>
      <c r="I140" s="243">
        <f t="shared" si="70"/>
        <v>0</v>
      </c>
      <c r="J140" s="243">
        <f t="shared" si="70"/>
        <v>0</v>
      </c>
      <c r="K140" s="243">
        <f t="shared" si="70"/>
        <v>1.1368683772161603E-13</v>
      </c>
      <c r="L140" s="243">
        <f t="shared" si="70"/>
        <v>0</v>
      </c>
      <c r="M140" s="243">
        <f t="shared" si="70"/>
        <v>2.9103830456733704E-11</v>
      </c>
      <c r="N140" s="243">
        <f t="shared" si="70"/>
        <v>2.9103830456733704E-11</v>
      </c>
      <c r="O140" s="177"/>
      <c r="P140" s="177"/>
      <c r="Q140" s="177"/>
    </row>
    <row r="141" spans="2:17" ht="10.35" customHeight="1" x14ac:dyDescent="0.25">
      <c r="B141" s="210"/>
      <c r="C141" s="136" t="s">
        <v>831</v>
      </c>
      <c r="D141" s="207" t="s">
        <v>48</v>
      </c>
      <c r="E141" s="243">
        <f t="shared" ref="E141:N141" si="71">IF(OR(E53="NA",E66="NA",E75="NA"),"NA",-SUM(E53)+SUM(E66)+SUM(E75))</f>
        <v>0</v>
      </c>
      <c r="F141" s="243">
        <f t="shared" si="71"/>
        <v>0</v>
      </c>
      <c r="G141" s="243">
        <f t="shared" si="71"/>
        <v>0</v>
      </c>
      <c r="H141" s="243">
        <f t="shared" si="71"/>
        <v>-7.2759576141834259E-12</v>
      </c>
      <c r="I141" s="243">
        <f t="shared" si="71"/>
        <v>0</v>
      </c>
      <c r="J141" s="243">
        <f t="shared" si="71"/>
        <v>-1.1368683772161603E-13</v>
      </c>
      <c r="K141" s="243">
        <f t="shared" si="71"/>
        <v>0</v>
      </c>
      <c r="L141" s="243">
        <f t="shared" si="71"/>
        <v>0</v>
      </c>
      <c r="M141" s="243">
        <f t="shared" si="71"/>
        <v>-7.2759576141834259E-12</v>
      </c>
      <c r="N141" s="243">
        <f t="shared" si="71"/>
        <v>0</v>
      </c>
      <c r="O141" s="177"/>
      <c r="P141" s="177"/>
      <c r="Q141" s="177"/>
    </row>
    <row r="142" spans="2:17" ht="10.35" customHeight="1" x14ac:dyDescent="0.25">
      <c r="B142" s="210"/>
      <c r="C142" s="136" t="s">
        <v>832</v>
      </c>
      <c r="D142" s="207" t="s">
        <v>48</v>
      </c>
      <c r="E142" s="243">
        <f t="shared" ref="E142:N142" si="72">IF(OR(E54="NA",E67="NA",E76="NA"),"NA",-SUM(E54)+SUM(E67)+SUM(E76))</f>
        <v>0</v>
      </c>
      <c r="F142" s="243">
        <f t="shared" si="72"/>
        <v>0</v>
      </c>
      <c r="G142" s="243">
        <f t="shared" si="72"/>
        <v>0</v>
      </c>
      <c r="H142" s="243">
        <f t="shared" si="72"/>
        <v>0</v>
      </c>
      <c r="I142" s="243">
        <f t="shared" si="72"/>
        <v>0</v>
      </c>
      <c r="J142" s="243">
        <f t="shared" si="72"/>
        <v>0</v>
      </c>
      <c r="K142" s="243">
        <f t="shared" si="72"/>
        <v>0</v>
      </c>
      <c r="L142" s="243">
        <f t="shared" si="72"/>
        <v>0</v>
      </c>
      <c r="M142" s="243">
        <f t="shared" si="72"/>
        <v>0</v>
      </c>
      <c r="N142" s="243">
        <f t="shared" si="72"/>
        <v>0</v>
      </c>
      <c r="O142" s="177"/>
      <c r="P142" s="177"/>
      <c r="Q142" s="177"/>
    </row>
    <row r="143" spans="2:17" ht="10.35" customHeight="1" x14ac:dyDescent="0.25">
      <c r="B143" s="210"/>
      <c r="C143" s="136" t="s">
        <v>833</v>
      </c>
      <c r="D143" s="207" t="s">
        <v>48</v>
      </c>
      <c r="E143" s="243">
        <f t="shared" ref="E143:N143" si="73">IF(OR(E55="NA",E68="NA",E77="NA"),"NA",-SUM(E55)+SUM(E68)+SUM(E77))</f>
        <v>0</v>
      </c>
      <c r="F143" s="243">
        <f t="shared" si="73"/>
        <v>0</v>
      </c>
      <c r="G143" s="243">
        <f t="shared" si="73"/>
        <v>0</v>
      </c>
      <c r="H143" s="243">
        <f t="shared" si="73"/>
        <v>0</v>
      </c>
      <c r="I143" s="243">
        <f t="shared" si="73"/>
        <v>0</v>
      </c>
      <c r="J143" s="243">
        <f t="shared" si="73"/>
        <v>0</v>
      </c>
      <c r="K143" s="243">
        <f t="shared" si="73"/>
        <v>0</v>
      </c>
      <c r="L143" s="243">
        <f t="shared" si="73"/>
        <v>0</v>
      </c>
      <c r="M143" s="243">
        <f t="shared" si="73"/>
        <v>0</v>
      </c>
      <c r="N143" s="243">
        <f t="shared" si="73"/>
        <v>0</v>
      </c>
      <c r="O143" s="177"/>
      <c r="P143" s="177"/>
      <c r="Q143" s="177"/>
    </row>
    <row r="144" spans="2:17" ht="10.35" customHeight="1" x14ac:dyDescent="0.25">
      <c r="B144" s="210"/>
      <c r="C144" s="136" t="s">
        <v>834</v>
      </c>
      <c r="D144" s="207" t="s">
        <v>48</v>
      </c>
      <c r="E144" s="243">
        <f t="shared" ref="E144:N144" si="74">IF(OR(E61="NA",E69="NA",E78="NA"),"NA",-SUM(E61)+SUM(E69)+SUM(E78))</f>
        <v>0</v>
      </c>
      <c r="F144" s="243">
        <f t="shared" si="74"/>
        <v>0</v>
      </c>
      <c r="G144" s="243">
        <f t="shared" si="74"/>
        <v>0</v>
      </c>
      <c r="H144" s="243">
        <f t="shared" si="74"/>
        <v>0</v>
      </c>
      <c r="I144" s="243">
        <f t="shared" si="74"/>
        <v>0</v>
      </c>
      <c r="J144" s="243">
        <f t="shared" si="74"/>
        <v>0</v>
      </c>
      <c r="K144" s="243">
        <f t="shared" si="74"/>
        <v>0</v>
      </c>
      <c r="L144" s="243">
        <f t="shared" si="74"/>
        <v>0</v>
      </c>
      <c r="M144" s="243">
        <f t="shared" si="74"/>
        <v>0</v>
      </c>
      <c r="N144" s="243">
        <f t="shared" si="74"/>
        <v>0</v>
      </c>
      <c r="O144" s="177"/>
      <c r="P144" s="177"/>
      <c r="Q144" s="177"/>
    </row>
    <row r="145" spans="2:17" ht="10.35" customHeight="1" x14ac:dyDescent="0.25">
      <c r="B145" s="210"/>
      <c r="C145" s="136" t="s">
        <v>835</v>
      </c>
      <c r="D145" s="207" t="s">
        <v>48</v>
      </c>
      <c r="E145" s="243">
        <f t="shared" ref="E145:N145" si="75">IF(OR(E62="NA",E70="NA",E79="NA"),"NA",-SUM(E62)+SUM(E70)+SUM(E79))</f>
        <v>0</v>
      </c>
      <c r="F145" s="243">
        <f t="shared" si="75"/>
        <v>3.8989644846054716E-14</v>
      </c>
      <c r="G145" s="243">
        <f t="shared" si="75"/>
        <v>0</v>
      </c>
      <c r="H145" s="243">
        <f t="shared" si="75"/>
        <v>-6.2137864298428269E-12</v>
      </c>
      <c r="I145" s="243">
        <f t="shared" si="75"/>
        <v>0</v>
      </c>
      <c r="J145" s="243">
        <f t="shared" si="75"/>
        <v>-5.3262949606391885E-14</v>
      </c>
      <c r="K145" s="243">
        <f t="shared" si="75"/>
        <v>6.6703587098260186E-14</v>
      </c>
      <c r="L145" s="243">
        <f t="shared" si="75"/>
        <v>0</v>
      </c>
      <c r="M145" s="243">
        <f t="shared" si="75"/>
        <v>9.2610641377888214E-12</v>
      </c>
      <c r="N145" s="243">
        <f t="shared" si="75"/>
        <v>-6.2137864298428269E-12</v>
      </c>
      <c r="O145" s="177"/>
      <c r="P145" s="177"/>
      <c r="Q145" s="177"/>
    </row>
    <row r="146" spans="2:17" ht="10.35" customHeight="1" x14ac:dyDescent="0.25">
      <c r="B146" s="210"/>
      <c r="C146" s="136" t="s">
        <v>844</v>
      </c>
      <c r="D146" s="207" t="s">
        <v>48</v>
      </c>
      <c r="E146" s="243">
        <f t="shared" ref="E146:N146" si="76">IF(OR(E63="NA",E64="NA",E65="NA",E66="NA",E67="NA",E68="NA",E69="NA",E70="NA"),"NA",-SUM(E63)+SUM(E64)+SUM(E65)+SUM(E66)+SUM(E67)+SUM(E68)+SUM(E69)+SUM(E70))</f>
        <v>-2.9103830456733704E-11</v>
      </c>
      <c r="F146" s="243">
        <f t="shared" si="76"/>
        <v>1.1368683772161603E-13</v>
      </c>
      <c r="G146" s="243">
        <f t="shared" si="76"/>
        <v>0</v>
      </c>
      <c r="H146" s="243">
        <f t="shared" si="76"/>
        <v>0</v>
      </c>
      <c r="I146" s="243">
        <f t="shared" si="76"/>
        <v>-1.8189894035458565E-12</v>
      </c>
      <c r="J146" s="243">
        <f t="shared" si="76"/>
        <v>4.5474735088646412E-12</v>
      </c>
      <c r="K146" s="243">
        <f t="shared" si="76"/>
        <v>0</v>
      </c>
      <c r="L146" s="243">
        <f t="shared" si="76"/>
        <v>0</v>
      </c>
      <c r="M146" s="243">
        <f t="shared" si="76"/>
        <v>-2.9103830456733704E-11</v>
      </c>
      <c r="N146" s="243">
        <f t="shared" si="76"/>
        <v>-2.9103830456733704E-11</v>
      </c>
      <c r="O146" s="177"/>
      <c r="P146" s="177"/>
      <c r="Q146" s="177"/>
    </row>
    <row r="147" spans="2:17" s="271" customFormat="1" ht="10.35" customHeight="1" x14ac:dyDescent="0.25">
      <c r="B147" s="274"/>
      <c r="C147" s="136" t="s">
        <v>836</v>
      </c>
      <c r="D147" s="136" t="s">
        <v>48</v>
      </c>
      <c r="E147" s="243">
        <f t="shared" ref="E147:N147" si="77">IF(OR(E71="NA",E72="NA",E73="NA",E74="NA",E75="NA",E76="NA",E77="NA",E78="NA",E79="NA"),"NA",-SUM(E71)+SUM(E72)+SUM(E73)+SUM(E74)+SUM(E75)+SUM(E76)+SUM(E77)+SUM(E78)+SUM(E79))</f>
        <v>1.4551915228366852E-11</v>
      </c>
      <c r="F147" s="243">
        <f t="shared" si="77"/>
        <v>0</v>
      </c>
      <c r="G147" s="243">
        <f t="shared" si="77"/>
        <v>0</v>
      </c>
      <c r="H147" s="243">
        <f t="shared" si="77"/>
        <v>-6.2137864298428269E-12</v>
      </c>
      <c r="I147" s="243">
        <f t="shared" si="77"/>
        <v>0</v>
      </c>
      <c r="J147" s="243">
        <f t="shared" si="77"/>
        <v>-5.3262949606391885E-14</v>
      </c>
      <c r="K147" s="243">
        <f t="shared" si="77"/>
        <v>6.6703587098260186E-14</v>
      </c>
      <c r="L147" s="243">
        <f t="shared" si="77"/>
        <v>0</v>
      </c>
      <c r="M147" s="243">
        <f t="shared" si="77"/>
        <v>2.3812979366155673E-11</v>
      </c>
      <c r="N147" s="243">
        <f t="shared" si="77"/>
        <v>-6.2137864298428269E-12</v>
      </c>
      <c r="O147" s="283"/>
      <c r="P147" s="283"/>
      <c r="Q147" s="283"/>
    </row>
    <row r="148" spans="2:17" s="271" customFormat="1" ht="10.35" customHeight="1" x14ac:dyDescent="0.25">
      <c r="B148" s="274"/>
      <c r="C148" s="136" t="s">
        <v>845</v>
      </c>
      <c r="D148" s="136"/>
      <c r="E148" s="243">
        <f t="shared" ref="E148:N148" si="78">IF(OR(E55="NA",E56="NA",E57="NA",E58="NA",E59="NA",E60="NA"),"NA",-SUM(E55)+SUM(E56)+SUM(E57)+SUM(E58)+SUM(E59)+SUM(E60))</f>
        <v>0</v>
      </c>
      <c r="F148" s="243">
        <f t="shared" si="78"/>
        <v>0</v>
      </c>
      <c r="G148" s="243">
        <f t="shared" si="78"/>
        <v>0</v>
      </c>
      <c r="H148" s="243">
        <f t="shared" si="78"/>
        <v>0</v>
      </c>
      <c r="I148" s="243">
        <f t="shared" si="78"/>
        <v>0</v>
      </c>
      <c r="J148" s="243">
        <f t="shared" si="78"/>
        <v>0</v>
      </c>
      <c r="K148" s="243">
        <f t="shared" si="78"/>
        <v>-7.100200000058976E-2</v>
      </c>
      <c r="L148" s="243">
        <f t="shared" si="78"/>
        <v>0</v>
      </c>
      <c r="M148" s="243">
        <f t="shared" si="78"/>
        <v>-7.1002000004227739E-2</v>
      </c>
      <c r="N148" s="243">
        <f t="shared" si="78"/>
        <v>0</v>
      </c>
      <c r="O148" s="283"/>
      <c r="P148" s="283"/>
      <c r="Q148" s="283"/>
    </row>
    <row r="149" spans="2:17" ht="10.35" customHeight="1" x14ac:dyDescent="0.25">
      <c r="B149" s="211"/>
      <c r="C149" s="208" t="s">
        <v>837</v>
      </c>
      <c r="D149" s="140" t="s">
        <v>48</v>
      </c>
      <c r="E149" s="244">
        <f t="shared" ref="E149:N149" si="79">IF(OR(E81="NA",E22="NA",E49="NA"),"NA",-SUM(E81)+SUM(E22)-SUM(E49))</f>
        <v>0</v>
      </c>
      <c r="F149" s="244">
        <f t="shared" si="79"/>
        <v>4.5474735088646412E-13</v>
      </c>
      <c r="G149" s="244">
        <f t="shared" si="79"/>
        <v>0</v>
      </c>
      <c r="H149" s="244">
        <f t="shared" si="79"/>
        <v>0</v>
      </c>
      <c r="I149" s="244">
        <f t="shared" si="79"/>
        <v>0</v>
      </c>
      <c r="J149" s="244">
        <f t="shared" si="79"/>
        <v>0</v>
      </c>
      <c r="K149" s="244">
        <f t="shared" si="79"/>
        <v>0</v>
      </c>
      <c r="L149" s="244">
        <f t="shared" si="79"/>
        <v>0</v>
      </c>
      <c r="M149" s="244">
        <f t="shared" si="79"/>
        <v>0</v>
      </c>
      <c r="N149" s="244">
        <f t="shared" si="79"/>
        <v>0</v>
      </c>
      <c r="O149" s="177"/>
      <c r="P149" s="177"/>
      <c r="Q149" s="177"/>
    </row>
    <row r="150" spans="2:17" s="103" customFormat="1" ht="10.9" customHeight="1" x14ac:dyDescent="0.15">
      <c r="B150" s="200" t="s">
        <v>2777</v>
      </c>
      <c r="E150" s="212"/>
      <c r="F150" s="212"/>
      <c r="G150" s="212"/>
      <c r="H150" s="212"/>
      <c r="I150" s="212"/>
      <c r="J150" s="212"/>
      <c r="K150" s="212"/>
      <c r="L150" s="212"/>
      <c r="M150" s="212"/>
      <c r="N150" s="212"/>
      <c r="O150" s="191"/>
      <c r="P150" s="191"/>
      <c r="Q150" s="191"/>
    </row>
    <row r="151" spans="2:17" s="103" customFormat="1" ht="10.9" customHeight="1" x14ac:dyDescent="0.15">
      <c r="B151" s="200"/>
      <c r="C151" s="213" t="s">
        <v>2778</v>
      </c>
      <c r="E151" s="212"/>
      <c r="F151" s="212"/>
      <c r="G151" s="212"/>
      <c r="H151" s="212"/>
      <c r="I151" s="212"/>
      <c r="J151" s="212"/>
      <c r="K151" s="212"/>
      <c r="L151" s="212"/>
      <c r="M151" s="212"/>
      <c r="N151" s="212"/>
      <c r="O151" s="191"/>
      <c r="P151" s="191"/>
      <c r="Q151" s="191"/>
    </row>
    <row r="152" spans="2:17" s="103" customFormat="1" ht="10.9" customHeight="1" x14ac:dyDescent="0.15">
      <c r="B152" s="190"/>
      <c r="C152" s="214" t="s">
        <v>3211</v>
      </c>
      <c r="E152" s="215"/>
      <c r="F152" s="215"/>
      <c r="G152" s="203" t="str">
        <f>IF(OR(G10="NA"),"NA",IF(ROUND(SUM(G10),1)=0,"si","verificar!"))</f>
        <v>si</v>
      </c>
      <c r="H152" s="215"/>
      <c r="I152" s="215"/>
      <c r="J152" s="215"/>
      <c r="K152" s="215"/>
      <c r="L152" s="203" t="str">
        <f>IF(OR(L10="NA"),"NA",IF(ROUND(SUM(L10),1)=0,"si","verificar!"))</f>
        <v>si</v>
      </c>
      <c r="M152" s="215"/>
      <c r="N152" s="215"/>
      <c r="O152" s="191"/>
      <c r="P152" s="191"/>
      <c r="Q152" s="191"/>
    </row>
    <row r="153" spans="2:17" s="103" customFormat="1" ht="10.9" customHeight="1" x14ac:dyDescent="0.15">
      <c r="B153" s="190"/>
      <c r="C153" s="214" t="s">
        <v>3212</v>
      </c>
      <c r="E153" s="215"/>
      <c r="F153" s="215"/>
      <c r="G153" s="203" t="str">
        <f>IF(OR(G23="NA",G50="NA"),"NA",IF(ROUND(SUM(G23)-SUM(G50),1)=0,"si","verificar!"))</f>
        <v>si</v>
      </c>
      <c r="H153" s="215"/>
      <c r="I153" s="215"/>
      <c r="J153" s="215"/>
      <c r="K153" s="215"/>
      <c r="L153" s="203" t="str">
        <f>IF(OR(L23="NA",L50="NA"),"NA",IF(ROUND(SUM(L23)-SUM(L50),1)=0,"si","verificar!"))</f>
        <v>si</v>
      </c>
      <c r="M153" s="215"/>
      <c r="N153" s="215"/>
      <c r="O153" s="191"/>
      <c r="P153" s="191"/>
      <c r="Q153" s="191"/>
    </row>
    <row r="154" spans="2:17" s="103" customFormat="1" ht="10.9" customHeight="1" x14ac:dyDescent="0.15">
      <c r="B154" s="200"/>
      <c r="C154" s="213" t="s">
        <v>2840</v>
      </c>
      <c r="E154" s="212"/>
      <c r="F154" s="212"/>
      <c r="G154" s="216"/>
      <c r="H154" s="212"/>
      <c r="I154" s="212"/>
      <c r="J154" s="212"/>
      <c r="K154" s="212"/>
      <c r="L154" s="216"/>
      <c r="M154" s="212"/>
      <c r="N154" s="212"/>
      <c r="O154" s="191"/>
      <c r="P154" s="191"/>
      <c r="Q154" s="191"/>
    </row>
    <row r="155" spans="2:17" s="103" customFormat="1" ht="10.9" customHeight="1" x14ac:dyDescent="0.15">
      <c r="B155" s="190"/>
      <c r="C155" s="214" t="s">
        <v>3213</v>
      </c>
      <c r="E155" s="215"/>
      <c r="F155" s="215"/>
      <c r="G155" s="203" t="str">
        <f t="array" ref="G155">IF(OR(G9:G21="NA"),"NA",IF(AND(ROUND(G9:G21,1)=0),"si","Vérificar!"))</f>
        <v>si</v>
      </c>
      <c r="H155" s="215"/>
      <c r="I155" s="215"/>
      <c r="J155" s="215"/>
      <c r="K155" s="215"/>
      <c r="L155" s="203" t="str">
        <f t="array" ref="L155">IF(OR(L9:L21="NA"),"NA",IF(AND(ROUND(L9:L21,1)=0),"si","Vérificar!"))</f>
        <v>si</v>
      </c>
      <c r="M155" s="215"/>
      <c r="N155" s="215"/>
      <c r="O155" s="191"/>
      <c r="P155" s="191"/>
      <c r="Q155" s="191"/>
    </row>
    <row r="156" spans="2:17" s="103" customFormat="1" ht="10.9" customHeight="1" x14ac:dyDescent="0.15">
      <c r="B156" s="190"/>
      <c r="C156" s="214" t="s">
        <v>3214</v>
      </c>
      <c r="E156" s="215"/>
      <c r="F156" s="215"/>
      <c r="G156" s="203" t="str">
        <f t="array" ref="G156">IF(OR(G40:G48="NA"),"NA",IF(AND(ROUND(G40:G48,1)=0),"si","Vérificar!"))</f>
        <v>si</v>
      </c>
      <c r="H156" s="215"/>
      <c r="I156" s="215"/>
      <c r="J156" s="215"/>
      <c r="K156" s="215"/>
      <c r="L156" s="203" t="str">
        <f t="array" ref="L156">IF(OR(L40:L48="NA"),"NA",IF(AND(ROUND(L40:L48,1)=0),"si","Vérificar!"))</f>
        <v>si</v>
      </c>
      <c r="M156" s="215"/>
      <c r="N156" s="215"/>
      <c r="O156" s="191"/>
      <c r="P156" s="191"/>
      <c r="Q156" s="191"/>
    </row>
    <row r="157" spans="2:17" s="103" customFormat="1" ht="10.9" customHeight="1" x14ac:dyDescent="0.15">
      <c r="B157" s="190"/>
      <c r="C157" s="214" t="s">
        <v>3215</v>
      </c>
      <c r="E157" s="215"/>
      <c r="F157" s="215"/>
      <c r="G157" s="203" t="str">
        <f t="array" ref="G157">IF(OR(G71:G79="NA"),"NA",IF(AND(ROUND(G71:G79,1)=0),"si","Vérificar!"))</f>
        <v>si</v>
      </c>
      <c r="H157" s="215"/>
      <c r="I157" s="215"/>
      <c r="J157" s="215"/>
      <c r="K157" s="215"/>
      <c r="L157" s="203" t="str">
        <f t="array" ref="L157">IF(OR(L71:L79="NA"),"NA",IF(AND(ROUND(L71:L79,1)=0),"si","Vérificar!"))</f>
        <v>si</v>
      </c>
      <c r="M157" s="215"/>
      <c r="N157" s="215"/>
      <c r="O157" s="191"/>
      <c r="P157" s="191"/>
      <c r="Q157" s="191"/>
    </row>
    <row r="158" spans="2:17" s="103" customFormat="1" ht="10.9" customHeight="1" x14ac:dyDescent="0.15">
      <c r="B158" s="200"/>
      <c r="C158" s="213" t="s">
        <v>2960</v>
      </c>
      <c r="E158" s="212"/>
      <c r="F158" s="212"/>
      <c r="G158" s="216"/>
      <c r="H158" s="212"/>
      <c r="I158" s="212"/>
      <c r="J158" s="212"/>
      <c r="K158" s="212"/>
      <c r="L158" s="216"/>
      <c r="M158" s="212"/>
      <c r="N158" s="212"/>
      <c r="O158" s="191"/>
      <c r="P158" s="191"/>
      <c r="Q158" s="191"/>
    </row>
    <row r="159" spans="2:17" s="103" customFormat="1" ht="10.9" customHeight="1" x14ac:dyDescent="0.15">
      <c r="B159" s="190"/>
      <c r="C159" s="214" t="s">
        <v>3216</v>
      </c>
      <c r="E159" s="215"/>
      <c r="F159" s="215"/>
      <c r="G159" s="203" t="str">
        <f t="shared" ref="G159:G164" si="80">IF(OR(G24="NA",G51="NA"),"NA",IF(ROUND(SUM(G24),1)=ROUND(SUM(G51),1),"si","verificar!"))</f>
        <v>verificar!</v>
      </c>
      <c r="H159" s="215"/>
      <c r="I159" s="215"/>
      <c r="J159" s="215"/>
      <c r="K159" s="215"/>
      <c r="L159" s="203" t="str">
        <f t="shared" ref="L159:L164" si="81">IF(OR(L24="NA",L51="NA"),"NA",IF(ROUND(SUM(L24),1)=ROUND(SUM(L51),1),"si","verificar!"))</f>
        <v>verificar!</v>
      </c>
      <c r="M159" s="215"/>
      <c r="N159" s="215"/>
      <c r="O159" s="191"/>
      <c r="P159" s="191"/>
      <c r="Q159" s="191"/>
    </row>
    <row r="160" spans="2:17" s="103" customFormat="1" ht="10.9" customHeight="1" x14ac:dyDescent="0.15">
      <c r="B160" s="190"/>
      <c r="C160" s="214" t="s">
        <v>3217</v>
      </c>
      <c r="E160" s="215"/>
      <c r="F160" s="215"/>
      <c r="G160" s="203" t="str">
        <f t="shared" si="80"/>
        <v>verificar!</v>
      </c>
      <c r="H160" s="215"/>
      <c r="I160" s="215"/>
      <c r="J160" s="215"/>
      <c r="K160" s="215"/>
      <c r="L160" s="203" t="str">
        <f t="shared" si="81"/>
        <v>verificar!</v>
      </c>
      <c r="M160" s="215"/>
      <c r="N160" s="215"/>
      <c r="O160" s="191"/>
      <c r="P160" s="191"/>
      <c r="Q160" s="191"/>
    </row>
    <row r="161" spans="2:17" s="103" customFormat="1" ht="10.9" customHeight="1" x14ac:dyDescent="0.15">
      <c r="B161" s="190"/>
      <c r="C161" s="214" t="s">
        <v>3218</v>
      </c>
      <c r="E161" s="215"/>
      <c r="F161" s="215"/>
      <c r="G161" s="203" t="str">
        <f t="shared" si="80"/>
        <v>verificar!</v>
      </c>
      <c r="H161" s="215"/>
      <c r="I161" s="215"/>
      <c r="J161" s="215"/>
      <c r="K161" s="215"/>
      <c r="L161" s="203" t="str">
        <f t="shared" si="81"/>
        <v>verificar!</v>
      </c>
      <c r="M161" s="215"/>
      <c r="N161" s="215"/>
      <c r="O161" s="191"/>
      <c r="P161" s="191"/>
      <c r="Q161" s="191"/>
    </row>
    <row r="162" spans="2:17" s="103" customFormat="1" ht="10.9" customHeight="1" x14ac:dyDescent="0.15">
      <c r="B162" s="190"/>
      <c r="C162" s="214" t="s">
        <v>3219</v>
      </c>
      <c r="E162" s="215"/>
      <c r="F162" s="215"/>
      <c r="G162" s="203" t="str">
        <f t="shared" si="80"/>
        <v>verificar!</v>
      </c>
      <c r="H162" s="215"/>
      <c r="I162" s="215"/>
      <c r="J162" s="215"/>
      <c r="K162" s="215"/>
      <c r="L162" s="203" t="str">
        <f t="shared" si="81"/>
        <v>verificar!</v>
      </c>
      <c r="M162" s="215"/>
      <c r="N162" s="215"/>
      <c r="O162" s="191"/>
      <c r="P162" s="191"/>
      <c r="Q162" s="191"/>
    </row>
    <row r="163" spans="2:17" s="103" customFormat="1" ht="10.9" customHeight="1" x14ac:dyDescent="0.15">
      <c r="B163" s="190"/>
      <c r="C163" s="214" t="s">
        <v>3220</v>
      </c>
      <c r="E163" s="215"/>
      <c r="F163" s="215"/>
      <c r="G163" s="203" t="str">
        <f t="shared" si="80"/>
        <v>si</v>
      </c>
      <c r="H163" s="215"/>
      <c r="I163" s="215"/>
      <c r="J163" s="215"/>
      <c r="K163" s="215"/>
      <c r="L163" s="203" t="str">
        <f t="shared" si="81"/>
        <v>si</v>
      </c>
      <c r="M163" s="215"/>
      <c r="N163" s="215"/>
      <c r="O163" s="191"/>
      <c r="P163" s="191"/>
      <c r="Q163" s="191"/>
    </row>
    <row r="164" spans="2:17" s="103" customFormat="1" ht="10.9" customHeight="1" x14ac:dyDescent="0.15">
      <c r="B164" s="190"/>
      <c r="C164" s="214" t="s">
        <v>3221</v>
      </c>
      <c r="E164" s="215"/>
      <c r="F164" s="215"/>
      <c r="G164" s="203" t="str">
        <f t="shared" si="80"/>
        <v>si</v>
      </c>
      <c r="H164" s="215"/>
      <c r="I164" s="215"/>
      <c r="J164" s="215"/>
      <c r="K164" s="215"/>
      <c r="L164" s="203" t="str">
        <f t="shared" si="81"/>
        <v>si</v>
      </c>
      <c r="M164" s="215"/>
      <c r="N164" s="215"/>
      <c r="O164" s="191"/>
      <c r="P164" s="191"/>
      <c r="Q164" s="191"/>
    </row>
    <row r="165" spans="2:17" s="103" customFormat="1" ht="10.9" customHeight="1" x14ac:dyDescent="0.15">
      <c r="B165" s="190"/>
      <c r="C165" s="214" t="s">
        <v>3222</v>
      </c>
      <c r="E165" s="215"/>
      <c r="F165" s="215"/>
      <c r="G165" s="203" t="str">
        <f>IF(OR(G30="NA",G62="NA"),"NA",IF(ROUND(SUM(G30),1)=ROUND(SUM(G62),1),"si","verificar!"))</f>
        <v>verificar!</v>
      </c>
      <c r="H165" s="215"/>
      <c r="I165" s="215"/>
      <c r="J165" s="215"/>
      <c r="K165" s="215"/>
      <c r="L165" s="203" t="str">
        <f>IF(OR(L30="NA",L62="NA"),"NA",IF(ROUND(SUM(L30),1)=ROUND(SUM(L62),1),"si","verificar!"))</f>
        <v>verificar!</v>
      </c>
      <c r="M165" s="215"/>
      <c r="N165" s="215"/>
      <c r="O165" s="191"/>
      <c r="P165" s="191"/>
      <c r="Q165" s="191"/>
    </row>
    <row r="166" spans="2:17" s="103" customFormat="1" ht="10.9" customHeight="1" x14ac:dyDescent="0.15">
      <c r="B166" s="190"/>
      <c r="C166" s="214" t="s">
        <v>3223</v>
      </c>
      <c r="E166" s="215"/>
      <c r="F166" s="215"/>
      <c r="G166" s="203" t="str">
        <f>IF(OR(G31="NA",G63="NA"),"NA",IF(ROUND(SUM(G31),1)=ROUND(SUM(G63),1),"si","verificar!"))</f>
        <v>verificar!</v>
      </c>
      <c r="H166" s="215"/>
      <c r="I166" s="215"/>
      <c r="J166" s="215"/>
      <c r="K166" s="215"/>
      <c r="L166" s="203" t="str">
        <f>IF(OR(L31="NA",L63="NA"),"NA",IF(ROUND(SUM(L31),1)=ROUND(SUM(L63),1),"si","verificar!"))</f>
        <v>verificar!</v>
      </c>
      <c r="M166" s="215"/>
      <c r="N166" s="215"/>
      <c r="O166" s="191"/>
      <c r="P166" s="191"/>
      <c r="Q166" s="191"/>
    </row>
    <row r="167" spans="2:17" ht="10.35" customHeight="1" x14ac:dyDescent="0.25">
      <c r="B167" s="276"/>
      <c r="C167" s="94"/>
      <c r="D167" s="77"/>
      <c r="E167" s="277"/>
      <c r="F167" s="277"/>
      <c r="G167" s="277"/>
      <c r="H167" s="277"/>
      <c r="I167" s="277"/>
      <c r="J167" s="277"/>
      <c r="K167" s="277"/>
      <c r="L167" s="277"/>
      <c r="M167" s="277"/>
      <c r="N167" s="277"/>
      <c r="O167" s="177"/>
      <c r="P167" s="177"/>
      <c r="Q167" s="177"/>
    </row>
    <row r="168" spans="2:17" ht="10.35" customHeight="1" x14ac:dyDescent="0.25">
      <c r="B168" s="190"/>
      <c r="C168" s="103"/>
      <c r="D168" s="103"/>
      <c r="E168" s="165"/>
      <c r="F168" s="165"/>
      <c r="G168" s="165"/>
      <c r="H168" s="165"/>
      <c r="I168" s="165"/>
      <c r="J168" s="165"/>
      <c r="K168" s="165"/>
      <c r="L168" s="165"/>
      <c r="M168" s="165"/>
      <c r="N168" s="165"/>
      <c r="O168" s="165"/>
      <c r="P168" s="165"/>
      <c r="Q168" s="165"/>
    </row>
    <row r="169" spans="2:17" ht="10.35" customHeight="1" x14ac:dyDescent="0.25">
      <c r="B169" s="190"/>
      <c r="C169" s="103"/>
      <c r="D169" s="103"/>
      <c r="E169" s="165"/>
      <c r="F169" s="165"/>
      <c r="G169" s="165"/>
      <c r="H169" s="165"/>
      <c r="I169" s="165"/>
      <c r="J169" s="165"/>
      <c r="K169" s="165"/>
      <c r="L169" s="165"/>
      <c r="M169" s="165"/>
      <c r="N169" s="165"/>
      <c r="O169" s="165"/>
      <c r="P169" s="165"/>
      <c r="Q169" s="165"/>
    </row>
    <row r="170" spans="2:17" ht="10.35" customHeight="1" x14ac:dyDescent="0.25">
      <c r="B170" s="190"/>
      <c r="C170" s="103"/>
      <c r="D170" s="103"/>
      <c r="E170" s="165"/>
      <c r="F170" s="165"/>
      <c r="G170" s="165"/>
      <c r="H170" s="165"/>
      <c r="I170" s="165"/>
      <c r="J170" s="165"/>
      <c r="K170" s="165"/>
      <c r="L170" s="165"/>
      <c r="M170" s="165"/>
      <c r="N170" s="165"/>
      <c r="O170" s="165"/>
      <c r="P170" s="165"/>
      <c r="Q170" s="165"/>
    </row>
    <row r="171" spans="2:17" ht="10.35" customHeight="1" x14ac:dyDescent="0.25">
      <c r="B171" s="190"/>
      <c r="C171" s="103"/>
      <c r="D171" s="103"/>
      <c r="E171" s="165"/>
      <c r="F171" s="165"/>
      <c r="G171" s="165"/>
      <c r="H171" s="165"/>
      <c r="I171" s="165"/>
      <c r="J171" s="165"/>
      <c r="K171" s="165"/>
      <c r="L171" s="165"/>
      <c r="M171" s="165"/>
      <c r="N171" s="165"/>
      <c r="O171" s="165"/>
      <c r="P171" s="165"/>
      <c r="Q171" s="165"/>
    </row>
    <row r="172" spans="2:17" ht="10.35" customHeight="1" x14ac:dyDescent="0.25">
      <c r="B172" s="190"/>
      <c r="C172" s="103"/>
      <c r="D172" s="103"/>
      <c r="E172" s="165"/>
      <c r="F172" s="165"/>
      <c r="G172" s="165"/>
      <c r="H172" s="165"/>
      <c r="I172" s="165"/>
      <c r="J172" s="165"/>
      <c r="K172" s="165"/>
      <c r="L172" s="165"/>
      <c r="M172" s="165"/>
      <c r="N172" s="165"/>
      <c r="O172" s="165"/>
      <c r="P172" s="165"/>
      <c r="Q172" s="165"/>
    </row>
    <row r="173" spans="2:17" ht="10.35" customHeight="1" x14ac:dyDescent="0.25">
      <c r="B173" s="190"/>
      <c r="C173" s="103"/>
      <c r="D173" s="103"/>
      <c r="E173" s="165"/>
      <c r="F173" s="165"/>
      <c r="G173" s="165"/>
      <c r="H173" s="165"/>
      <c r="I173" s="165"/>
      <c r="J173" s="165"/>
      <c r="K173" s="165"/>
      <c r="L173" s="165"/>
      <c r="M173" s="165"/>
      <c r="N173" s="165"/>
      <c r="O173" s="165"/>
      <c r="P173" s="165"/>
      <c r="Q173" s="165"/>
    </row>
    <row r="174" spans="2:17" ht="10.35" customHeight="1" x14ac:dyDescent="0.25">
      <c r="B174" s="190"/>
      <c r="C174" s="103"/>
      <c r="D174" s="103"/>
      <c r="E174" s="165"/>
      <c r="F174" s="165"/>
      <c r="G174" s="165"/>
      <c r="H174" s="165"/>
      <c r="I174" s="165"/>
      <c r="J174" s="165"/>
      <c r="K174" s="165"/>
      <c r="L174" s="165"/>
      <c r="M174" s="165"/>
      <c r="N174" s="165"/>
      <c r="O174" s="165"/>
      <c r="P174" s="165"/>
      <c r="Q174" s="165"/>
    </row>
    <row r="175" spans="2:17" ht="14.25" x14ac:dyDescent="0.25">
      <c r="B175" s="190"/>
      <c r="C175" s="103"/>
      <c r="D175" s="103"/>
      <c r="E175" s="165"/>
      <c r="F175" s="165"/>
      <c r="G175" s="165"/>
      <c r="H175" s="165"/>
      <c r="I175" s="165"/>
      <c r="J175" s="165"/>
      <c r="K175" s="165"/>
      <c r="L175" s="165"/>
      <c r="M175" s="165"/>
      <c r="N175" s="165"/>
      <c r="O175" s="165"/>
      <c r="P175" s="165"/>
      <c r="Q175" s="165"/>
    </row>
    <row r="176" spans="2:17" ht="14.25" x14ac:dyDescent="0.25">
      <c r="B176" s="190"/>
      <c r="C176" s="103"/>
      <c r="D176" s="103"/>
      <c r="E176" s="165"/>
      <c r="F176" s="165"/>
      <c r="G176" s="165"/>
      <c r="H176" s="165"/>
      <c r="I176" s="165"/>
      <c r="J176" s="165"/>
      <c r="K176" s="165"/>
      <c r="L176" s="165"/>
      <c r="M176" s="165"/>
      <c r="N176" s="165"/>
      <c r="O176" s="165"/>
      <c r="P176" s="165"/>
      <c r="Q176" s="165"/>
    </row>
    <row r="177" spans="2:17" ht="14.25" x14ac:dyDescent="0.25">
      <c r="B177" s="190"/>
      <c r="C177" s="103"/>
      <c r="D177" s="103"/>
      <c r="E177" s="165"/>
      <c r="F177" s="165"/>
      <c r="G177" s="165"/>
      <c r="H177" s="165"/>
      <c r="I177" s="165"/>
      <c r="J177" s="165"/>
      <c r="K177" s="165"/>
      <c r="L177" s="165"/>
      <c r="M177" s="165"/>
      <c r="N177" s="165"/>
      <c r="O177" s="165"/>
      <c r="P177" s="165"/>
      <c r="Q177" s="165"/>
    </row>
    <row r="178" spans="2:17" ht="14.25" x14ac:dyDescent="0.25">
      <c r="B178" s="190"/>
      <c r="C178" s="103"/>
      <c r="D178" s="103"/>
      <c r="E178" s="165"/>
      <c r="F178" s="165"/>
      <c r="G178" s="165"/>
      <c r="H178" s="165"/>
      <c r="I178" s="165"/>
      <c r="J178" s="165"/>
      <c r="K178" s="165"/>
      <c r="L178" s="165"/>
      <c r="M178" s="165"/>
      <c r="N178" s="165"/>
      <c r="O178" s="165"/>
      <c r="P178" s="165"/>
      <c r="Q178" s="165"/>
    </row>
    <row r="179" spans="2:17" ht="14.25" x14ac:dyDescent="0.25">
      <c r="B179" s="190"/>
      <c r="C179" s="103"/>
      <c r="D179" s="103"/>
      <c r="E179" s="165"/>
      <c r="F179" s="165"/>
      <c r="G179" s="165"/>
      <c r="H179" s="165"/>
      <c r="I179" s="165"/>
      <c r="J179" s="165"/>
      <c r="K179" s="165"/>
      <c r="L179" s="165"/>
      <c r="M179" s="165"/>
      <c r="N179" s="165"/>
      <c r="O179" s="165"/>
      <c r="P179" s="165"/>
      <c r="Q179" s="165"/>
    </row>
    <row r="180" spans="2:17" ht="14.25" x14ac:dyDescent="0.25">
      <c r="B180" s="190"/>
      <c r="C180" s="103"/>
      <c r="D180" s="103"/>
      <c r="E180" s="165"/>
      <c r="F180" s="165"/>
      <c r="G180" s="165"/>
      <c r="H180" s="165"/>
      <c r="I180" s="165"/>
      <c r="J180" s="165"/>
      <c r="K180" s="165"/>
      <c r="L180" s="165"/>
      <c r="M180" s="165"/>
      <c r="N180" s="165"/>
      <c r="O180" s="165"/>
      <c r="P180" s="165"/>
      <c r="Q180" s="165"/>
    </row>
    <row r="181" spans="2:17" ht="14.25" x14ac:dyDescent="0.25">
      <c r="B181" s="190"/>
      <c r="C181" s="103"/>
      <c r="D181" s="103"/>
      <c r="E181" s="165"/>
      <c r="F181" s="165"/>
      <c r="G181" s="165"/>
      <c r="H181" s="165"/>
      <c r="I181" s="165"/>
      <c r="J181" s="165"/>
      <c r="K181" s="165"/>
      <c r="L181" s="165"/>
      <c r="M181" s="165"/>
      <c r="N181" s="165"/>
      <c r="O181" s="165"/>
      <c r="P181" s="165"/>
      <c r="Q181" s="165"/>
    </row>
    <row r="182" spans="2:17" ht="14.25" x14ac:dyDescent="0.25">
      <c r="B182" s="190"/>
      <c r="C182" s="103"/>
      <c r="D182" s="103"/>
      <c r="E182" s="165"/>
      <c r="F182" s="165"/>
      <c r="G182" s="165"/>
      <c r="H182" s="165"/>
      <c r="I182" s="165"/>
      <c r="J182" s="165"/>
      <c r="K182" s="165"/>
      <c r="L182" s="165"/>
      <c r="M182" s="165"/>
      <c r="N182" s="165"/>
      <c r="O182" s="165"/>
      <c r="P182" s="165"/>
      <c r="Q182" s="165"/>
    </row>
    <row r="183" spans="2:17" ht="14.25" x14ac:dyDescent="0.25">
      <c r="B183" s="190"/>
      <c r="C183" s="103"/>
      <c r="D183" s="103"/>
      <c r="E183" s="165"/>
      <c r="F183" s="165"/>
      <c r="G183" s="165"/>
      <c r="H183" s="165"/>
      <c r="I183" s="165"/>
      <c r="J183" s="165"/>
      <c r="K183" s="165"/>
      <c r="L183" s="165"/>
      <c r="M183" s="165"/>
      <c r="N183" s="165"/>
      <c r="O183" s="165"/>
      <c r="P183" s="165"/>
      <c r="Q183" s="165"/>
    </row>
    <row r="184" spans="2:17" ht="14.25" x14ac:dyDescent="0.25">
      <c r="B184" s="190"/>
      <c r="C184" s="103"/>
      <c r="D184" s="103"/>
      <c r="E184" s="165"/>
      <c r="F184" s="165"/>
      <c r="G184" s="165"/>
      <c r="H184" s="165"/>
      <c r="I184" s="165"/>
      <c r="J184" s="165"/>
      <c r="K184" s="165"/>
      <c r="L184" s="165"/>
      <c r="M184" s="165"/>
      <c r="N184" s="165"/>
      <c r="O184" s="165"/>
      <c r="P184" s="165"/>
      <c r="Q184" s="165"/>
    </row>
    <row r="185" spans="2:17" ht="14.25" x14ac:dyDescent="0.25">
      <c r="B185" s="190"/>
      <c r="C185" s="103"/>
      <c r="D185" s="103"/>
      <c r="E185" s="165"/>
      <c r="F185" s="165"/>
      <c r="G185" s="165"/>
      <c r="H185" s="165"/>
      <c r="I185" s="165"/>
      <c r="J185" s="165"/>
      <c r="K185" s="165"/>
      <c r="L185" s="165"/>
      <c r="M185" s="165"/>
      <c r="N185" s="165"/>
      <c r="O185" s="165"/>
      <c r="P185" s="165"/>
      <c r="Q185" s="165"/>
    </row>
    <row r="186" spans="2:17" ht="14.25" x14ac:dyDescent="0.25">
      <c r="B186" s="190"/>
      <c r="C186" s="103"/>
      <c r="D186" s="103"/>
      <c r="E186" s="165"/>
      <c r="F186" s="165"/>
      <c r="G186" s="165"/>
      <c r="H186" s="165"/>
      <c r="I186" s="165"/>
      <c r="J186" s="165"/>
      <c r="K186" s="165"/>
      <c r="L186" s="165"/>
      <c r="M186" s="165"/>
      <c r="N186" s="165"/>
      <c r="O186" s="165"/>
      <c r="P186" s="165"/>
      <c r="Q186" s="165"/>
    </row>
    <row r="187" spans="2:17" ht="14.25" x14ac:dyDescent="0.25">
      <c r="B187" s="190"/>
      <c r="C187" s="103"/>
      <c r="D187" s="103"/>
      <c r="E187" s="165"/>
      <c r="F187" s="165"/>
      <c r="G187" s="165"/>
      <c r="H187" s="165"/>
      <c r="I187" s="165"/>
      <c r="J187" s="165"/>
      <c r="K187" s="165"/>
      <c r="L187" s="165"/>
      <c r="M187" s="165"/>
      <c r="N187" s="165"/>
      <c r="O187" s="165"/>
      <c r="P187" s="165"/>
      <c r="Q187" s="165"/>
    </row>
    <row r="188" spans="2:17" ht="14.25" x14ac:dyDescent="0.25">
      <c r="B188" s="190"/>
      <c r="C188" s="103"/>
      <c r="D188" s="103"/>
      <c r="E188" s="165"/>
      <c r="F188" s="165"/>
      <c r="G188" s="165"/>
      <c r="H188" s="165"/>
      <c r="I188" s="165"/>
      <c r="J188" s="165"/>
      <c r="K188" s="165"/>
      <c r="L188" s="165"/>
      <c r="M188" s="165"/>
      <c r="N188" s="165"/>
      <c r="O188" s="165"/>
      <c r="P188" s="165"/>
      <c r="Q188" s="165"/>
    </row>
    <row r="189" spans="2:17" ht="14.25" x14ac:dyDescent="0.25">
      <c r="B189" s="190"/>
      <c r="C189" s="103"/>
      <c r="D189" s="103"/>
      <c r="E189" s="165"/>
      <c r="F189" s="165"/>
      <c r="G189" s="165"/>
      <c r="H189" s="165"/>
      <c r="I189" s="165"/>
      <c r="J189" s="165"/>
      <c r="K189" s="165"/>
      <c r="L189" s="165"/>
      <c r="M189" s="165"/>
      <c r="N189" s="165"/>
      <c r="O189" s="165"/>
      <c r="P189" s="165"/>
      <c r="Q189" s="165"/>
    </row>
    <row r="190" spans="2:17" ht="14.25" x14ac:dyDescent="0.25">
      <c r="B190" s="190"/>
      <c r="C190" s="103"/>
      <c r="D190" s="103"/>
      <c r="E190" s="165"/>
      <c r="F190" s="165"/>
      <c r="G190" s="165"/>
      <c r="H190" s="165"/>
      <c r="I190" s="165"/>
      <c r="J190" s="165"/>
      <c r="K190" s="165"/>
      <c r="L190" s="165"/>
      <c r="M190" s="165"/>
      <c r="N190" s="165"/>
      <c r="O190" s="165"/>
      <c r="P190" s="165"/>
      <c r="Q190" s="165"/>
    </row>
    <row r="191" spans="2:17" ht="14.25" x14ac:dyDescent="0.25">
      <c r="B191" s="190"/>
      <c r="C191" s="103"/>
      <c r="D191" s="103"/>
      <c r="E191" s="165"/>
      <c r="F191" s="165"/>
      <c r="G191" s="165"/>
      <c r="H191" s="165"/>
      <c r="I191" s="165"/>
      <c r="J191" s="165"/>
      <c r="K191" s="165"/>
      <c r="L191" s="165"/>
      <c r="M191" s="165"/>
      <c r="N191" s="165"/>
      <c r="O191" s="165"/>
      <c r="P191" s="165"/>
      <c r="Q191" s="165"/>
    </row>
    <row r="192" spans="2:17" ht="14.25" x14ac:dyDescent="0.25">
      <c r="B192" s="190"/>
      <c r="C192" s="103"/>
      <c r="D192" s="103"/>
      <c r="E192" s="165"/>
      <c r="F192" s="165"/>
      <c r="G192" s="165"/>
      <c r="H192" s="165"/>
      <c r="I192" s="165"/>
      <c r="J192" s="165"/>
      <c r="K192" s="165"/>
      <c r="L192" s="165"/>
      <c r="M192" s="165"/>
      <c r="N192" s="165"/>
      <c r="O192" s="165"/>
      <c r="P192" s="165"/>
      <c r="Q192" s="165"/>
    </row>
    <row r="193" spans="2:17" ht="14.25" x14ac:dyDescent="0.25">
      <c r="B193" s="190"/>
      <c r="C193" s="103"/>
      <c r="D193" s="103"/>
      <c r="E193" s="165"/>
      <c r="F193" s="165"/>
      <c r="G193" s="165"/>
      <c r="H193" s="165"/>
      <c r="I193" s="165"/>
      <c r="J193" s="165"/>
      <c r="K193" s="165"/>
      <c r="L193" s="165"/>
      <c r="M193" s="165"/>
      <c r="N193" s="165"/>
      <c r="O193" s="165"/>
      <c r="P193" s="165"/>
      <c r="Q193" s="165"/>
    </row>
    <row r="194" spans="2:17" x14ac:dyDescent="0.2">
      <c r="B194" s="256"/>
      <c r="C194" s="257"/>
      <c r="D194" s="257"/>
    </row>
    <row r="195" spans="2:17" x14ac:dyDescent="0.2">
      <c r="B195" s="256"/>
      <c r="C195" s="257"/>
      <c r="D195" s="257"/>
    </row>
    <row r="196" spans="2:17" x14ac:dyDescent="0.2">
      <c r="B196" s="256"/>
      <c r="C196" s="257"/>
      <c r="D196" s="257"/>
    </row>
    <row r="197" spans="2:17" x14ac:dyDescent="0.2">
      <c r="B197" s="256"/>
      <c r="C197" s="257"/>
      <c r="D197" s="257"/>
    </row>
    <row r="198" spans="2:17" x14ac:dyDescent="0.2">
      <c r="B198" s="256"/>
      <c r="C198" s="257"/>
      <c r="D198" s="257"/>
    </row>
    <row r="199" spans="2:17" x14ac:dyDescent="0.2">
      <c r="B199" s="256"/>
      <c r="C199" s="257"/>
      <c r="D199" s="257"/>
    </row>
    <row r="200" spans="2:17" x14ac:dyDescent="0.2">
      <c r="B200" s="256"/>
      <c r="C200" s="257"/>
      <c r="D200" s="257"/>
    </row>
    <row r="201" spans="2:17" x14ac:dyDescent="0.2">
      <c r="B201" s="256"/>
      <c r="C201" s="257"/>
      <c r="D201" s="257"/>
    </row>
    <row r="202" spans="2:17" x14ac:dyDescent="0.2">
      <c r="B202" s="256"/>
      <c r="C202" s="257"/>
      <c r="D202" s="257"/>
    </row>
    <row r="203" spans="2:17" x14ac:dyDescent="0.2">
      <c r="B203" s="256"/>
      <c r="C203" s="257"/>
      <c r="D203" s="257"/>
    </row>
    <row r="204" spans="2:17" x14ac:dyDescent="0.2">
      <c r="B204" s="256"/>
      <c r="C204" s="257"/>
      <c r="D204" s="257"/>
    </row>
    <row r="205" spans="2:17" x14ac:dyDescent="0.2">
      <c r="B205" s="256"/>
      <c r="C205" s="257"/>
      <c r="D205" s="257"/>
    </row>
    <row r="206" spans="2:17" x14ac:dyDescent="0.2">
      <c r="B206" s="256"/>
      <c r="C206" s="257"/>
      <c r="D206" s="257"/>
    </row>
    <row r="207" spans="2:17" x14ac:dyDescent="0.2">
      <c r="B207" s="256"/>
      <c r="C207" s="257"/>
      <c r="D207" s="257"/>
    </row>
    <row r="208" spans="2:17" x14ac:dyDescent="0.2">
      <c r="B208" s="256"/>
      <c r="C208" s="257"/>
      <c r="D208" s="257"/>
    </row>
    <row r="209" spans="2:4" x14ac:dyDescent="0.2">
      <c r="B209" s="256"/>
      <c r="C209" s="257"/>
      <c r="D209" s="257"/>
    </row>
    <row r="210" spans="2:4" x14ac:dyDescent="0.2">
      <c r="B210" s="256"/>
      <c r="C210" s="257"/>
      <c r="D210" s="257"/>
    </row>
    <row r="211" spans="2:4" x14ac:dyDescent="0.2">
      <c r="B211" s="256"/>
      <c r="C211" s="257"/>
      <c r="D211" s="257"/>
    </row>
    <row r="212" spans="2:4" x14ac:dyDescent="0.2">
      <c r="B212" s="256"/>
      <c r="C212" s="257"/>
      <c r="D212" s="257"/>
    </row>
    <row r="213" spans="2:4" x14ac:dyDescent="0.2">
      <c r="B213" s="256"/>
      <c r="C213" s="257"/>
      <c r="D213" s="257"/>
    </row>
    <row r="214" spans="2:4" x14ac:dyDescent="0.2">
      <c r="B214" s="256"/>
      <c r="C214" s="257"/>
      <c r="D214" s="257"/>
    </row>
    <row r="215" spans="2:4" x14ac:dyDescent="0.2">
      <c r="B215" s="256"/>
      <c r="C215" s="257"/>
      <c r="D215" s="257"/>
    </row>
    <row r="216" spans="2:4" x14ac:dyDescent="0.2">
      <c r="B216" s="256"/>
      <c r="C216" s="257"/>
      <c r="D216" s="257"/>
    </row>
    <row r="217" spans="2:4" x14ac:dyDescent="0.2">
      <c r="B217" s="256"/>
      <c r="C217" s="257"/>
      <c r="D217" s="257"/>
    </row>
    <row r="218" spans="2:4" x14ac:dyDescent="0.2">
      <c r="B218" s="256"/>
      <c r="C218" s="257"/>
      <c r="D218" s="257"/>
    </row>
    <row r="219" spans="2:4" x14ac:dyDescent="0.2">
      <c r="B219" s="256"/>
      <c r="C219" s="257"/>
      <c r="D219" s="257"/>
    </row>
    <row r="220" spans="2:4" x14ac:dyDescent="0.2">
      <c r="B220" s="256"/>
      <c r="C220" s="257"/>
      <c r="D220" s="257"/>
    </row>
    <row r="221" spans="2:4" x14ac:dyDescent="0.2">
      <c r="B221" s="256"/>
      <c r="C221" s="257"/>
      <c r="D221" s="257"/>
    </row>
    <row r="222" spans="2:4" x14ac:dyDescent="0.2">
      <c r="B222" s="256"/>
      <c r="C222" s="257"/>
      <c r="D222" s="257"/>
    </row>
    <row r="223" spans="2:4" x14ac:dyDescent="0.2">
      <c r="B223" s="256"/>
      <c r="C223" s="257"/>
      <c r="D223" s="257"/>
    </row>
    <row r="224" spans="2:4" x14ac:dyDescent="0.2">
      <c r="B224" s="256"/>
      <c r="C224" s="257"/>
      <c r="D224" s="257"/>
    </row>
    <row r="225" spans="2:4" x14ac:dyDescent="0.2">
      <c r="B225" s="256"/>
      <c r="C225" s="257"/>
      <c r="D225" s="257"/>
    </row>
    <row r="226" spans="2:4" x14ac:dyDescent="0.2">
      <c r="B226" s="256"/>
      <c r="C226" s="257"/>
      <c r="D226" s="257"/>
    </row>
    <row r="227" spans="2:4" x14ac:dyDescent="0.2">
      <c r="B227" s="256"/>
      <c r="C227" s="257"/>
      <c r="D227" s="257"/>
    </row>
    <row r="228" spans="2:4" x14ac:dyDescent="0.2">
      <c r="B228" s="256"/>
      <c r="C228" s="257"/>
      <c r="D228" s="257"/>
    </row>
    <row r="229" spans="2:4" x14ac:dyDescent="0.2">
      <c r="B229" s="256"/>
      <c r="C229" s="257"/>
      <c r="D229" s="257"/>
    </row>
    <row r="230" spans="2:4" x14ac:dyDescent="0.2">
      <c r="B230" s="256"/>
      <c r="C230" s="257"/>
      <c r="D230" s="257"/>
    </row>
    <row r="231" spans="2:4" x14ac:dyDescent="0.2">
      <c r="B231" s="256"/>
      <c r="C231" s="257"/>
      <c r="D231" s="257"/>
    </row>
    <row r="232" spans="2:4" x14ac:dyDescent="0.2">
      <c r="B232" s="256"/>
      <c r="C232" s="257"/>
      <c r="D232" s="257"/>
    </row>
    <row r="233" spans="2:4" x14ac:dyDescent="0.2">
      <c r="B233" s="256"/>
      <c r="C233" s="257"/>
      <c r="D233" s="257"/>
    </row>
    <row r="234" spans="2:4" x14ac:dyDescent="0.2">
      <c r="B234" s="256"/>
      <c r="C234" s="257"/>
      <c r="D234" s="257"/>
    </row>
    <row r="235" spans="2:4" x14ac:dyDescent="0.2">
      <c r="B235" s="256"/>
      <c r="C235" s="257"/>
      <c r="D235" s="257"/>
    </row>
    <row r="236" spans="2:4" x14ac:dyDescent="0.2">
      <c r="B236" s="256"/>
      <c r="C236" s="257"/>
      <c r="D236" s="257"/>
    </row>
    <row r="237" spans="2:4" x14ac:dyDescent="0.2">
      <c r="B237" s="256"/>
      <c r="C237" s="257"/>
      <c r="D237" s="257"/>
    </row>
    <row r="238" spans="2:4" x14ac:dyDescent="0.2">
      <c r="B238" s="256"/>
      <c r="C238" s="257"/>
      <c r="D238" s="257"/>
    </row>
    <row r="239" spans="2:4" x14ac:dyDescent="0.2">
      <c r="B239" s="256"/>
      <c r="C239" s="257"/>
      <c r="D239" s="257"/>
    </row>
    <row r="240" spans="2:4" x14ac:dyDescent="0.2">
      <c r="B240" s="256"/>
      <c r="C240" s="257"/>
      <c r="D240" s="257"/>
    </row>
    <row r="241" spans="2:4" x14ac:dyDescent="0.2">
      <c r="B241" s="256"/>
      <c r="C241" s="257"/>
      <c r="D241" s="257"/>
    </row>
    <row r="242" spans="2:4" x14ac:dyDescent="0.2">
      <c r="B242" s="256"/>
      <c r="C242" s="257"/>
      <c r="D242" s="257"/>
    </row>
    <row r="243" spans="2:4" x14ac:dyDescent="0.2">
      <c r="B243" s="256"/>
      <c r="C243" s="257"/>
      <c r="D243" s="257"/>
    </row>
    <row r="244" spans="2:4" x14ac:dyDescent="0.2">
      <c r="B244" s="256"/>
      <c r="C244" s="257"/>
      <c r="D244" s="257"/>
    </row>
    <row r="245" spans="2:4" x14ac:dyDescent="0.2">
      <c r="B245" s="256"/>
      <c r="C245" s="257"/>
      <c r="D245" s="257"/>
    </row>
    <row r="246" spans="2:4" x14ac:dyDescent="0.2">
      <c r="B246" s="256"/>
      <c r="C246" s="257"/>
      <c r="D246" s="257"/>
    </row>
    <row r="247" spans="2:4" x14ac:dyDescent="0.2">
      <c r="B247" s="256"/>
      <c r="C247" s="257"/>
      <c r="D247" s="257"/>
    </row>
    <row r="248" spans="2:4" x14ac:dyDescent="0.2">
      <c r="B248" s="256"/>
      <c r="C248" s="257"/>
      <c r="D248" s="257"/>
    </row>
    <row r="249" spans="2:4" x14ac:dyDescent="0.2">
      <c r="B249" s="256"/>
      <c r="C249" s="257"/>
      <c r="D249" s="257"/>
    </row>
    <row r="250" spans="2:4" x14ac:dyDescent="0.2">
      <c r="B250" s="256"/>
      <c r="C250" s="257"/>
      <c r="D250" s="257"/>
    </row>
    <row r="251" spans="2:4" x14ac:dyDescent="0.2">
      <c r="B251" s="256"/>
      <c r="C251" s="257"/>
      <c r="D251" s="257"/>
    </row>
    <row r="252" spans="2:4" x14ac:dyDescent="0.2">
      <c r="B252" s="256"/>
      <c r="C252" s="257"/>
      <c r="D252" s="257"/>
    </row>
    <row r="253" spans="2:4" x14ac:dyDescent="0.2">
      <c r="B253" s="256"/>
      <c r="C253" s="257"/>
      <c r="D253" s="257"/>
    </row>
    <row r="254" spans="2:4" x14ac:dyDescent="0.2">
      <c r="B254" s="256"/>
      <c r="C254" s="257"/>
      <c r="D254" s="257"/>
    </row>
    <row r="255" spans="2:4" x14ac:dyDescent="0.2">
      <c r="B255" s="256"/>
      <c r="C255" s="257"/>
      <c r="D255" s="257"/>
    </row>
    <row r="256" spans="2:4" x14ac:dyDescent="0.2">
      <c r="B256" s="256"/>
      <c r="C256" s="257"/>
      <c r="D256" s="257"/>
    </row>
    <row r="257" spans="2:4" x14ac:dyDescent="0.2">
      <c r="B257" s="256"/>
      <c r="C257" s="257"/>
      <c r="D257" s="257"/>
    </row>
    <row r="258" spans="2:4" x14ac:dyDescent="0.2">
      <c r="B258" s="256"/>
      <c r="C258" s="257"/>
      <c r="D258" s="257"/>
    </row>
    <row r="259" spans="2:4" x14ac:dyDescent="0.2">
      <c r="B259" s="256"/>
      <c r="C259" s="257"/>
      <c r="D259" s="257"/>
    </row>
    <row r="260" spans="2:4" x14ac:dyDescent="0.2">
      <c r="B260" s="256"/>
      <c r="C260" s="257"/>
      <c r="D260" s="257"/>
    </row>
    <row r="261" spans="2:4" x14ac:dyDescent="0.2">
      <c r="B261" s="256"/>
      <c r="C261" s="257"/>
      <c r="D261" s="257"/>
    </row>
    <row r="262" spans="2:4" x14ac:dyDescent="0.2">
      <c r="B262" s="256"/>
      <c r="C262" s="257"/>
      <c r="D262" s="257"/>
    </row>
    <row r="263" spans="2:4" x14ac:dyDescent="0.2">
      <c r="B263" s="256"/>
      <c r="C263" s="257"/>
      <c r="D263" s="257"/>
    </row>
    <row r="264" spans="2:4" x14ac:dyDescent="0.2">
      <c r="B264" s="256"/>
      <c r="C264" s="257"/>
      <c r="D264" s="257"/>
    </row>
    <row r="265" spans="2:4" x14ac:dyDescent="0.2">
      <c r="B265" s="256"/>
      <c r="C265" s="257"/>
      <c r="D265" s="257"/>
    </row>
    <row r="266" spans="2:4" x14ac:dyDescent="0.2">
      <c r="B266" s="256"/>
      <c r="C266" s="257"/>
      <c r="D266" s="257"/>
    </row>
    <row r="267" spans="2:4" x14ac:dyDescent="0.2">
      <c r="B267" s="256"/>
      <c r="C267" s="257"/>
      <c r="D267" s="257"/>
    </row>
    <row r="268" spans="2:4" x14ac:dyDescent="0.2">
      <c r="B268" s="256"/>
      <c r="C268" s="257"/>
      <c r="D268" s="257"/>
    </row>
    <row r="269" spans="2:4" x14ac:dyDescent="0.2">
      <c r="B269" s="256"/>
      <c r="C269" s="257"/>
      <c r="D269" s="257"/>
    </row>
    <row r="270" spans="2:4" x14ac:dyDescent="0.2">
      <c r="B270" s="256"/>
      <c r="C270" s="257"/>
      <c r="D270" s="257"/>
    </row>
    <row r="271" spans="2:4" x14ac:dyDescent="0.2">
      <c r="B271" s="256"/>
      <c r="C271" s="257"/>
      <c r="D271" s="257"/>
    </row>
    <row r="272" spans="2:4" x14ac:dyDescent="0.2">
      <c r="B272" s="256"/>
      <c r="C272" s="257"/>
      <c r="D272" s="257"/>
    </row>
    <row r="273" spans="2:4" x14ac:dyDescent="0.2">
      <c r="B273" s="256"/>
      <c r="C273" s="257"/>
      <c r="D273" s="257"/>
    </row>
    <row r="274" spans="2:4" x14ac:dyDescent="0.2">
      <c r="B274" s="256"/>
      <c r="C274" s="257"/>
      <c r="D274" s="257"/>
    </row>
    <row r="275" spans="2:4" x14ac:dyDescent="0.2">
      <c r="B275" s="256"/>
      <c r="C275" s="257"/>
      <c r="D275" s="257"/>
    </row>
    <row r="276" spans="2:4" x14ac:dyDescent="0.2">
      <c r="B276" s="256"/>
      <c r="C276" s="257"/>
      <c r="D276" s="257"/>
    </row>
    <row r="277" spans="2:4" x14ac:dyDescent="0.2">
      <c r="B277" s="256"/>
      <c r="C277" s="257"/>
      <c r="D277" s="257"/>
    </row>
    <row r="278" spans="2:4" x14ac:dyDescent="0.2">
      <c r="B278" s="256"/>
      <c r="C278" s="257"/>
      <c r="D278" s="257"/>
    </row>
    <row r="279" spans="2:4" x14ac:dyDescent="0.2">
      <c r="B279" s="256"/>
      <c r="C279" s="257"/>
      <c r="D279" s="257"/>
    </row>
    <row r="280" spans="2:4" x14ac:dyDescent="0.2">
      <c r="B280" s="256"/>
      <c r="C280" s="257"/>
      <c r="D280" s="257"/>
    </row>
    <row r="281" spans="2:4" x14ac:dyDescent="0.2">
      <c r="B281" s="256"/>
      <c r="C281" s="257"/>
      <c r="D281" s="257"/>
    </row>
    <row r="282" spans="2:4" x14ac:dyDescent="0.2">
      <c r="B282" s="256"/>
      <c r="C282" s="257"/>
      <c r="D282" s="257"/>
    </row>
    <row r="283" spans="2:4" x14ac:dyDescent="0.2">
      <c r="B283" s="256"/>
      <c r="C283" s="257"/>
      <c r="D283" s="257"/>
    </row>
    <row r="284" spans="2:4" x14ac:dyDescent="0.2">
      <c r="B284" s="256"/>
      <c r="C284" s="257"/>
      <c r="D284" s="257"/>
    </row>
    <row r="285" spans="2:4" x14ac:dyDescent="0.2">
      <c r="B285" s="256"/>
      <c r="C285" s="257"/>
      <c r="D285" s="257"/>
    </row>
    <row r="286" spans="2:4" x14ac:dyDescent="0.2">
      <c r="B286" s="256"/>
      <c r="C286" s="257"/>
      <c r="D286" s="257"/>
    </row>
    <row r="287" spans="2:4" x14ac:dyDescent="0.2">
      <c r="B287" s="256"/>
      <c r="C287" s="257"/>
      <c r="D287" s="257"/>
    </row>
    <row r="288" spans="2:4" x14ac:dyDescent="0.2">
      <c r="B288" s="256"/>
      <c r="C288" s="257"/>
      <c r="D288" s="257"/>
    </row>
    <row r="289" spans="2:4" x14ac:dyDescent="0.2">
      <c r="B289" s="256"/>
      <c r="C289" s="257"/>
      <c r="D289" s="257"/>
    </row>
    <row r="290" spans="2:4" x14ac:dyDescent="0.2">
      <c r="B290" s="256"/>
      <c r="C290" s="257"/>
      <c r="D290" s="257"/>
    </row>
    <row r="291" spans="2:4" x14ac:dyDescent="0.2">
      <c r="B291" s="256"/>
      <c r="C291" s="257"/>
      <c r="D291" s="257"/>
    </row>
    <row r="292" spans="2:4" x14ac:dyDescent="0.2">
      <c r="B292" s="256"/>
      <c r="C292" s="257"/>
      <c r="D292" s="257"/>
    </row>
    <row r="293" spans="2:4" x14ac:dyDescent="0.2">
      <c r="B293" s="256"/>
      <c r="C293" s="257"/>
      <c r="D293" s="257"/>
    </row>
    <row r="294" spans="2:4" x14ac:dyDescent="0.2">
      <c r="B294" s="256"/>
      <c r="C294" s="257"/>
      <c r="D294" s="257"/>
    </row>
    <row r="295" spans="2:4" x14ac:dyDescent="0.2">
      <c r="B295" s="256"/>
      <c r="C295" s="257"/>
      <c r="D295" s="257"/>
    </row>
    <row r="296" spans="2:4" x14ac:dyDescent="0.2">
      <c r="B296" s="256"/>
      <c r="C296" s="257"/>
      <c r="D296" s="257"/>
    </row>
    <row r="297" spans="2:4" x14ac:dyDescent="0.2">
      <c r="B297" s="256"/>
      <c r="C297" s="257"/>
      <c r="D297" s="257"/>
    </row>
    <row r="298" spans="2:4" x14ac:dyDescent="0.2">
      <c r="B298" s="256"/>
      <c r="C298" s="257"/>
      <c r="D298" s="257"/>
    </row>
    <row r="299" spans="2:4" x14ac:dyDescent="0.2">
      <c r="B299" s="256"/>
      <c r="C299" s="257"/>
      <c r="D299" s="257"/>
    </row>
    <row r="300" spans="2:4" x14ac:dyDescent="0.2">
      <c r="B300" s="256"/>
      <c r="C300" s="257"/>
      <c r="D300" s="257"/>
    </row>
    <row r="301" spans="2:4" x14ac:dyDescent="0.2">
      <c r="B301" s="256"/>
      <c r="C301" s="257"/>
      <c r="D301" s="257"/>
    </row>
    <row r="302" spans="2:4" x14ac:dyDescent="0.2">
      <c r="B302" s="256"/>
      <c r="C302" s="257"/>
      <c r="D302" s="257"/>
    </row>
    <row r="303" spans="2:4" x14ac:dyDescent="0.2">
      <c r="B303" s="256"/>
      <c r="C303" s="257"/>
      <c r="D303" s="257"/>
    </row>
    <row r="304" spans="2:4" x14ac:dyDescent="0.2">
      <c r="B304" s="256"/>
      <c r="C304" s="257"/>
      <c r="D304" s="257"/>
    </row>
    <row r="305" spans="2:4" x14ac:dyDescent="0.2">
      <c r="B305" s="256"/>
      <c r="C305" s="257"/>
      <c r="D305" s="257"/>
    </row>
    <row r="306" spans="2:4" x14ac:dyDescent="0.2">
      <c r="B306" s="256"/>
      <c r="C306" s="257"/>
      <c r="D306" s="257"/>
    </row>
    <row r="307" spans="2:4" x14ac:dyDescent="0.2">
      <c r="B307" s="256"/>
      <c r="C307" s="257"/>
      <c r="D307" s="257"/>
    </row>
    <row r="308" spans="2:4" x14ac:dyDescent="0.2">
      <c r="B308" s="256"/>
      <c r="C308" s="257"/>
      <c r="D308" s="257"/>
    </row>
    <row r="309" spans="2:4" x14ac:dyDescent="0.2">
      <c r="B309" s="256"/>
      <c r="C309" s="257"/>
      <c r="D309" s="257"/>
    </row>
    <row r="310" spans="2:4" x14ac:dyDescent="0.2">
      <c r="B310" s="256"/>
      <c r="C310" s="257"/>
      <c r="D310" s="257"/>
    </row>
    <row r="311" spans="2:4" x14ac:dyDescent="0.2">
      <c r="B311" s="256"/>
      <c r="C311" s="257"/>
      <c r="D311" s="257"/>
    </row>
    <row r="312" spans="2:4" x14ac:dyDescent="0.2">
      <c r="B312" s="256"/>
      <c r="C312" s="257"/>
      <c r="D312" s="257"/>
    </row>
    <row r="313" spans="2:4" x14ac:dyDescent="0.2">
      <c r="B313" s="256"/>
      <c r="C313" s="257"/>
      <c r="D313" s="257"/>
    </row>
    <row r="314" spans="2:4" x14ac:dyDescent="0.2">
      <c r="B314" s="256"/>
      <c r="C314" s="257"/>
      <c r="D314" s="257"/>
    </row>
    <row r="315" spans="2:4" x14ac:dyDescent="0.2">
      <c r="B315" s="256"/>
      <c r="C315" s="257"/>
      <c r="D315" s="257"/>
    </row>
    <row r="316" spans="2:4" x14ac:dyDescent="0.2">
      <c r="B316" s="256"/>
      <c r="C316" s="257"/>
      <c r="D316" s="257"/>
    </row>
    <row r="317" spans="2:4" x14ac:dyDescent="0.2">
      <c r="B317" s="256"/>
      <c r="C317" s="257"/>
      <c r="D317" s="257"/>
    </row>
    <row r="318" spans="2:4" x14ac:dyDescent="0.2">
      <c r="B318" s="256"/>
      <c r="C318" s="257"/>
      <c r="D318" s="257"/>
    </row>
    <row r="319" spans="2:4" x14ac:dyDescent="0.2">
      <c r="B319" s="256"/>
      <c r="C319" s="257"/>
      <c r="D319" s="257"/>
    </row>
    <row r="320" spans="2:4" x14ac:dyDescent="0.2">
      <c r="B320" s="256"/>
      <c r="C320" s="257"/>
      <c r="D320" s="257"/>
    </row>
    <row r="321" spans="2:4" x14ac:dyDescent="0.2">
      <c r="B321" s="256"/>
      <c r="C321" s="257"/>
      <c r="D321" s="257"/>
    </row>
    <row r="322" spans="2:4" x14ac:dyDescent="0.2">
      <c r="B322" s="256"/>
      <c r="C322" s="257"/>
      <c r="D322" s="257"/>
    </row>
    <row r="323" spans="2:4" x14ac:dyDescent="0.2">
      <c r="B323" s="256"/>
      <c r="C323" s="257"/>
      <c r="D323" s="257"/>
    </row>
    <row r="324" spans="2:4" x14ac:dyDescent="0.2">
      <c r="B324" s="256"/>
      <c r="C324" s="257"/>
      <c r="D324" s="257"/>
    </row>
    <row r="325" spans="2:4" x14ac:dyDescent="0.2">
      <c r="B325" s="256"/>
      <c r="C325" s="257"/>
      <c r="D325" s="257"/>
    </row>
    <row r="326" spans="2:4" x14ac:dyDescent="0.2">
      <c r="B326" s="256"/>
      <c r="C326" s="257"/>
      <c r="D326" s="257"/>
    </row>
    <row r="327" spans="2:4" x14ac:dyDescent="0.2">
      <c r="B327" s="256"/>
      <c r="C327" s="257"/>
      <c r="D327" s="257"/>
    </row>
    <row r="328" spans="2:4" x14ac:dyDescent="0.2">
      <c r="B328" s="256"/>
      <c r="C328" s="257"/>
      <c r="D328" s="257"/>
    </row>
    <row r="329" spans="2:4" x14ac:dyDescent="0.2">
      <c r="B329" s="256"/>
      <c r="C329" s="257"/>
      <c r="D329" s="257"/>
    </row>
    <row r="330" spans="2:4" x14ac:dyDescent="0.2">
      <c r="B330" s="256"/>
      <c r="C330" s="257"/>
      <c r="D330" s="257"/>
    </row>
    <row r="331" spans="2:4" x14ac:dyDescent="0.2">
      <c r="B331" s="256"/>
      <c r="C331" s="257"/>
      <c r="D331" s="257"/>
    </row>
    <row r="332" spans="2:4" x14ac:dyDescent="0.2">
      <c r="B332" s="256"/>
      <c r="C332" s="257"/>
      <c r="D332" s="257"/>
    </row>
    <row r="333" spans="2:4" x14ac:dyDescent="0.2">
      <c r="B333" s="256"/>
      <c r="C333" s="257"/>
      <c r="D333" s="257"/>
    </row>
    <row r="334" spans="2:4" x14ac:dyDescent="0.2">
      <c r="B334" s="256"/>
      <c r="C334" s="257"/>
      <c r="D334" s="257"/>
    </row>
    <row r="335" spans="2:4" x14ac:dyDescent="0.2">
      <c r="B335" s="256"/>
      <c r="C335" s="257"/>
      <c r="D335" s="257"/>
    </row>
    <row r="336" spans="2:4" x14ac:dyDescent="0.2">
      <c r="B336" s="256"/>
      <c r="C336" s="257"/>
      <c r="D336" s="257"/>
    </row>
    <row r="337" spans="2:4" x14ac:dyDescent="0.2">
      <c r="B337" s="256"/>
      <c r="C337" s="257"/>
      <c r="D337" s="257"/>
    </row>
    <row r="338" spans="2:4" x14ac:dyDescent="0.2">
      <c r="B338" s="256"/>
      <c r="C338" s="257"/>
      <c r="D338" s="257"/>
    </row>
    <row r="339" spans="2:4" x14ac:dyDescent="0.2">
      <c r="B339" s="256"/>
      <c r="C339" s="257"/>
      <c r="D339" s="257"/>
    </row>
    <row r="340" spans="2:4" x14ac:dyDescent="0.2">
      <c r="B340" s="256"/>
      <c r="C340" s="257"/>
      <c r="D340" s="257"/>
    </row>
    <row r="341" spans="2:4" x14ac:dyDescent="0.2">
      <c r="B341" s="256"/>
      <c r="C341" s="257"/>
      <c r="D341" s="257"/>
    </row>
    <row r="342" spans="2:4" x14ac:dyDescent="0.2">
      <c r="B342" s="256"/>
      <c r="C342" s="257"/>
      <c r="D342" s="257"/>
    </row>
    <row r="343" spans="2:4" x14ac:dyDescent="0.2">
      <c r="B343" s="256"/>
      <c r="C343" s="257"/>
      <c r="D343" s="257"/>
    </row>
    <row r="344" spans="2:4" x14ac:dyDescent="0.2">
      <c r="B344" s="256"/>
      <c r="C344" s="257"/>
      <c r="D344" s="257"/>
    </row>
    <row r="345" spans="2:4" x14ac:dyDescent="0.2">
      <c r="B345" s="256"/>
      <c r="C345" s="257"/>
      <c r="D345" s="257"/>
    </row>
    <row r="346" spans="2:4" x14ac:dyDescent="0.2">
      <c r="B346" s="256"/>
      <c r="C346" s="257"/>
      <c r="D346" s="257"/>
    </row>
    <row r="347" spans="2:4" x14ac:dyDescent="0.2">
      <c r="B347" s="256"/>
      <c r="C347" s="257"/>
      <c r="D347" s="257"/>
    </row>
    <row r="348" spans="2:4" x14ac:dyDescent="0.2">
      <c r="B348" s="256"/>
      <c r="C348" s="257"/>
      <c r="D348" s="257"/>
    </row>
    <row r="349" spans="2:4" x14ac:dyDescent="0.2">
      <c r="B349" s="256"/>
      <c r="C349" s="257"/>
      <c r="D349" s="257"/>
    </row>
    <row r="350" spans="2:4" x14ac:dyDescent="0.2">
      <c r="B350" s="256"/>
      <c r="C350" s="257"/>
      <c r="D350" s="257"/>
    </row>
    <row r="351" spans="2:4" x14ac:dyDescent="0.2">
      <c r="B351" s="256"/>
      <c r="C351" s="257"/>
      <c r="D351" s="257"/>
    </row>
    <row r="352" spans="2:4" x14ac:dyDescent="0.2">
      <c r="B352" s="256"/>
      <c r="C352" s="257"/>
      <c r="D352" s="257"/>
    </row>
    <row r="353" spans="2:4" x14ac:dyDescent="0.2">
      <c r="B353" s="256"/>
      <c r="C353" s="257"/>
      <c r="D353" s="257"/>
    </row>
    <row r="354" spans="2:4" x14ac:dyDescent="0.2">
      <c r="B354" s="256"/>
      <c r="C354" s="257"/>
      <c r="D354" s="257"/>
    </row>
  </sheetData>
  <sheetProtection password="EECE" sheet="1" objects="1" scenarios="1" formatCells="0" formatColumns="0" formatRows="0"/>
  <customSheetViews>
    <customSheetView guid="{C3088B2E-F853-4D7E-B687-C6500891DFCB}" scale="110" showPageBreaks="1" fitToPage="1" printArea="1">
      <pane xSplit="3" ySplit="6" topLeftCell="K56" activePane="bottomRight" state="frozen"/>
      <selection pane="bottomRight"/>
      <rowBreaks count="1" manualBreakCount="1">
        <brk id="53" max="12" man="1"/>
      </rowBreaks>
      <pageMargins left="0.47244094488188981" right="0.47244094488188981" top="0.59055118110236227" bottom="0.47244094488188981" header="0.39370078740157483" footer="0.31496062992125984"/>
      <pageSetup scale="81" fitToHeight="0" orientation="landscape" r:id="rId1"/>
      <headerFooter alignWithMargins="0">
        <oddFooter>&amp;L&amp;8&amp;D  &amp;T&amp;R&amp;8March 2014, Version 0.2</oddFooter>
      </headerFooter>
    </customSheetView>
    <customSheetView guid="{F866C9B2-56BF-4FE4-B270-CC8FE15A5892}" scale="110" showPageBreaks="1" fitToPage="1" printArea="1">
      <pane xSplit="2" ySplit="6" topLeftCell="D7" activePane="bottomRight" state="frozen"/>
      <selection pane="bottomRight"/>
      <rowBreaks count="1" manualBreakCount="1">
        <brk id="53" max="12" man="1"/>
      </rowBreaks>
      <pageMargins left="0.47244094488188981" right="0.47244094488188981" top="0.59055118110236227" bottom="0.47244094488188981" header="0.39370078740157483" footer="0.31496062992125984"/>
      <pageSetup scale="80" fitToHeight="0" orientation="landscape" r:id="rId2"/>
      <headerFooter alignWithMargins="0">
        <oddFooter>&amp;L&amp;8&amp;D  &amp;T&amp;R&amp;8March 2014, Version 0.2</oddFooter>
      </headerFooter>
    </customSheetView>
    <customSheetView guid="{D66484CB-9D53-43A1-A83D-11534BC40BF6}" scale="110" showPageBreaks="1" fitToPage="1" printArea="1">
      <pane xSplit="3" ySplit="6" topLeftCell="D7" activePane="bottomRight" state="frozen"/>
      <selection pane="bottomRight" activeCell="B18" sqref="B18"/>
      <rowBreaks count="1" manualBreakCount="1">
        <brk id="53" max="12" man="1"/>
      </rowBreaks>
      <pageMargins left="0.47244094488188981" right="0.47244094488188981" top="0.59055118110236227" bottom="0.47244094488188981" header="0.39370078740157483" footer="0.31496062992125984"/>
      <pageSetup scale="80" fitToHeight="0" orientation="landscape" r:id="rId3"/>
      <headerFooter alignWithMargins="0">
        <oddFooter>&amp;L&amp;8&amp;D  &amp;T&amp;R&amp;8March 2014, Version 0.2</oddFooter>
      </headerFooter>
    </customSheetView>
  </customSheetViews>
  <mergeCells count="12">
    <mergeCell ref="G1:M1"/>
    <mergeCell ref="B4:C5"/>
    <mergeCell ref="E4:H4"/>
    <mergeCell ref="I4:I5"/>
    <mergeCell ref="K4:K5"/>
    <mergeCell ref="F2:N2"/>
    <mergeCell ref="P4:Q4"/>
    <mergeCell ref="N3:N5"/>
    <mergeCell ref="G3:H3"/>
    <mergeCell ref="L4:L5"/>
    <mergeCell ref="M4:M5"/>
    <mergeCell ref="J4:J5"/>
  </mergeCells>
  <conditionalFormatting sqref="E150:N151 E167:N167 E159:F166 H159:K166 M159:N166 E154:N158 E152:F153 H152:K153 M152:N153">
    <cfRule type="containsText" dxfId="125" priority="28" operator="containsText" text="Vérifier">
      <formula>NOT(ISERROR(SEARCH("Vérifier",E150)))</formula>
    </cfRule>
  </conditionalFormatting>
  <conditionalFormatting sqref="G154:G158 L154:L158">
    <cfRule type="containsText" dxfId="124" priority="23" operator="containsText" text="Oui">
      <formula>NOT(ISERROR(SEARCH("Oui",G154)))</formula>
    </cfRule>
  </conditionalFormatting>
  <conditionalFormatting sqref="E119:N149">
    <cfRule type="cellIs" dxfId="123" priority="19" operator="between">
      <formula>-0.1</formula>
      <formula>0.1</formula>
    </cfRule>
    <cfRule type="containsText" dxfId="122" priority="20" operator="containsText" text="NA">
      <formula>NOT(ISERROR(SEARCH("NA",E119)))</formula>
    </cfRule>
    <cfRule type="cellIs" dxfId="121" priority="21" operator="lessThan">
      <formula>-0.1</formula>
    </cfRule>
    <cfRule type="cellIs" dxfId="120" priority="22" operator="greaterThan">
      <formula>0.1</formula>
    </cfRule>
  </conditionalFormatting>
  <conditionalFormatting sqref="P8:Q79 P81:Q81 P83:Q101 P103:Q112">
    <cfRule type="cellIs" dxfId="119" priority="15" operator="lessThan">
      <formula>-0.1</formula>
    </cfRule>
    <cfRule type="cellIs" dxfId="118" priority="16" operator="greaterThan">
      <formula>0.1</formula>
    </cfRule>
    <cfRule type="cellIs" dxfId="117" priority="17" operator="between">
      <formula>-0.1</formula>
      <formula>0.1</formula>
    </cfRule>
    <cfRule type="containsText" dxfId="116" priority="18" operator="containsText" text="NA">
      <formula>NOT(ISERROR(SEARCH("NA",P8)))</formula>
    </cfRule>
  </conditionalFormatting>
  <conditionalFormatting sqref="G155:G157 L155:L157">
    <cfRule type="containsText" dxfId="115" priority="14" operator="containsText" text="NA">
      <formula>NOT(ISERROR(SEARCH("NA",G155)))</formula>
    </cfRule>
  </conditionalFormatting>
  <conditionalFormatting sqref="G159:G166">
    <cfRule type="containsText" dxfId="114" priority="12" operator="containsText" text="NV">
      <formula>NOT(ISERROR(SEARCH("NV",G159)))</formula>
    </cfRule>
    <cfRule type="containsText" dxfId="113" priority="13" operator="containsText" text="check">
      <formula>NOT(ISERROR(SEARCH("check",G159)))</formula>
    </cfRule>
  </conditionalFormatting>
  <conditionalFormatting sqref="L159:L166">
    <cfRule type="containsText" dxfId="112" priority="10" operator="containsText" text="NV">
      <formula>NOT(ISERROR(SEARCH("NV",L159)))</formula>
    </cfRule>
    <cfRule type="containsText" dxfId="111" priority="11" operator="containsText" text="check">
      <formula>NOT(ISERROR(SEARCH("check",L159)))</formula>
    </cfRule>
  </conditionalFormatting>
  <conditionalFormatting sqref="G152:G153">
    <cfRule type="containsText" dxfId="110" priority="8" operator="containsText" text="NV">
      <formula>NOT(ISERROR(SEARCH("NV",G152)))</formula>
    </cfRule>
    <cfRule type="containsText" dxfId="109" priority="9" operator="containsText" text="check">
      <formula>NOT(ISERROR(SEARCH("check",G152)))</formula>
    </cfRule>
  </conditionalFormatting>
  <conditionalFormatting sqref="L152:L153">
    <cfRule type="containsText" dxfId="108" priority="6" operator="containsText" text="NV">
      <formula>NOT(ISERROR(SEARCH("NV",L152)))</formula>
    </cfRule>
    <cfRule type="containsText" dxfId="107" priority="7" operator="containsText" text="check">
      <formula>NOT(ISERROR(SEARCH("check",L152)))</formula>
    </cfRule>
  </conditionalFormatting>
  <conditionalFormatting sqref="G152:L153 G159:L166">
    <cfRule type="containsText" dxfId="106" priority="4" operator="containsText" text="verificar">
      <formula>NOT(ISERROR(SEARCH("verificar",G152)))</formula>
    </cfRule>
    <cfRule type="containsText" dxfId="105" priority="5" operator="containsText" text="si">
      <formula>NOT(ISERROR(SEARCH("si",G152)))</formula>
    </cfRule>
  </conditionalFormatting>
  <conditionalFormatting sqref="G152:G166 L152:L166">
    <cfRule type="containsText" dxfId="104" priority="2" operator="containsText" text="v">
      <formula>NOT(ISERROR(SEARCH("v",G152)))</formula>
    </cfRule>
    <cfRule type="containsText" dxfId="103" priority="3" operator="containsText" text="si">
      <formula>NOT(ISERROR(SEARCH("si",G152)))</formula>
    </cfRule>
  </conditionalFormatting>
  <conditionalFormatting sqref="G152:L166">
    <cfRule type="containsText" dxfId="102" priority="1" operator="containsText" text="v">
      <formula>NOT(ISERROR(SEARCH("v",G152)))</formula>
    </cfRule>
  </conditionalFormatting>
  <pageMargins left="0.47244094488188998" right="0.47244094488188998" top="0.59055118110236204" bottom="0.47244094488188998" header="0.39370078740157499" footer="0.31496062992126"/>
  <pageSetup scale="80" fitToHeight="0" orientation="landscape" r:id="rId4"/>
  <headerFooter alignWithMargins="0">
    <oddFooter>&amp;L&amp;8&amp;D  &amp;T&amp;R&amp;8March 2014, Version 0.2</oddFooter>
  </headerFooter>
  <rowBreaks count="1" manualBreakCount="1">
    <brk id="54" min="1" max="13" man="1"/>
  </rowBreaks>
  <legacyDrawing r:id="rId5"/>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indexed="52"/>
    <pageSetUpPr fitToPage="1"/>
  </sheetPr>
  <dimension ref="A1:Q146"/>
  <sheetViews>
    <sheetView workbookViewId="0">
      <pane xSplit="4" ySplit="7" topLeftCell="E8" activePane="bottomRight" state="frozen"/>
      <selection activeCell="Q53" sqref="P8:Q53"/>
      <selection pane="topRight" activeCell="Q53" sqref="P8:Q53"/>
      <selection pane="bottomLeft" activeCell="Q53" sqref="P8:Q53"/>
      <selection pane="bottomRight" activeCell="E8" sqref="E8"/>
    </sheetView>
  </sheetViews>
  <sheetFormatPr baseColWidth="10" defaultColWidth="9.140625" defaultRowHeight="12.75" x14ac:dyDescent="0.2"/>
  <cols>
    <col min="1" max="1" width="12.85546875" style="164" hidden="1" customWidth="1"/>
    <col min="2" max="2" width="7.28515625" style="221" customWidth="1"/>
    <col min="3" max="3" width="50.7109375" style="164" customWidth="1"/>
    <col min="4" max="4" width="0.85546875" style="164" customWidth="1"/>
    <col min="5" max="14" width="10" style="164" customWidth="1"/>
    <col min="15" max="15" width="3.28515625" style="164" customWidth="1"/>
    <col min="16" max="17" width="11.7109375" style="164" customWidth="1"/>
    <col min="18" max="18" width="9.140625" style="164" customWidth="1"/>
    <col min="19" max="16384" width="9.140625" style="164"/>
  </cols>
  <sheetData>
    <row r="1" spans="1:17" ht="14.25" x14ac:dyDescent="0.25">
      <c r="B1" s="513" t="str">
        <f>+Coverpage!A1</f>
        <v>GFSM2014_V1.5</v>
      </c>
      <c r="C1" s="514"/>
      <c r="D1" s="515"/>
      <c r="E1" s="516"/>
      <c r="F1" s="517"/>
      <c r="G1" s="771" t="str">
        <f>Reporting_Country_Name</f>
        <v>Colombia</v>
      </c>
      <c r="H1" s="771"/>
      <c r="I1" s="771"/>
      <c r="J1" s="771"/>
      <c r="K1" s="771"/>
      <c r="L1" s="771"/>
      <c r="M1" s="771"/>
      <c r="N1" s="661" t="str">
        <f>Reporting_Country_Code</f>
        <v>233</v>
      </c>
      <c r="O1" s="519"/>
      <c r="P1" s="653" t="s">
        <v>2731</v>
      </c>
      <c r="Q1" s="654"/>
    </row>
    <row r="2" spans="1:17" ht="14.25" x14ac:dyDescent="0.25">
      <c r="B2" s="513" t="s">
        <v>3225</v>
      </c>
      <c r="C2" s="582"/>
      <c r="D2" s="583"/>
      <c r="E2" s="523"/>
      <c r="F2" s="780" t="str">
        <f>"En "&amp;Coverpage!$I$15&amp;" de "&amp;Coverpage!$I$14&amp;" / El año fiscal termina en "&amp;Coverpage!$I$11&amp;" "&amp;Coverpage!$I$12</f>
        <v xml:space="preserve">En Billion de Colombian Pesos (COP) / El año fiscal termina en  </v>
      </c>
      <c r="G2" s="781"/>
      <c r="H2" s="781"/>
      <c r="I2" s="781"/>
      <c r="J2" s="781"/>
      <c r="K2" s="781"/>
      <c r="L2" s="781"/>
      <c r="M2" s="781"/>
      <c r="N2" s="781"/>
      <c r="O2" s="519"/>
      <c r="P2" s="655" t="s">
        <v>2732</v>
      </c>
      <c r="Q2" s="656"/>
    </row>
    <row r="3" spans="1:17" ht="12" customHeight="1" x14ac:dyDescent="0.25">
      <c r="B3" s="524"/>
      <c r="C3" s="525"/>
      <c r="D3" s="526"/>
      <c r="E3" s="527"/>
      <c r="F3" s="528"/>
      <c r="G3" s="784" t="s">
        <v>2726</v>
      </c>
      <c r="H3" s="784"/>
      <c r="I3" s="529" t="str">
        <f>Reporting_Period_Code</f>
        <v>2016</v>
      </c>
      <c r="J3" s="529"/>
      <c r="K3" s="528"/>
      <c r="L3" s="528"/>
      <c r="M3" s="530"/>
      <c r="N3" s="790" t="s">
        <v>2723</v>
      </c>
      <c r="O3" s="531"/>
      <c r="P3" s="168"/>
      <c r="Q3" s="168"/>
    </row>
    <row r="4" spans="1:17" ht="12" customHeight="1" x14ac:dyDescent="0.2">
      <c r="B4" s="794" t="s">
        <v>3224</v>
      </c>
      <c r="C4" s="795"/>
      <c r="D4" s="532"/>
      <c r="E4" s="787" t="s">
        <v>2727</v>
      </c>
      <c r="F4" s="788"/>
      <c r="G4" s="788"/>
      <c r="H4" s="789"/>
      <c r="I4" s="790" t="s">
        <v>2719</v>
      </c>
      <c r="J4" s="790" t="s">
        <v>2720</v>
      </c>
      <c r="K4" s="792" t="s">
        <v>2721</v>
      </c>
      <c r="L4" s="790" t="s">
        <v>2728</v>
      </c>
      <c r="M4" s="793" t="s">
        <v>2722</v>
      </c>
      <c r="N4" s="791"/>
      <c r="O4" s="531"/>
      <c r="P4" s="778" t="s">
        <v>2733</v>
      </c>
      <c r="Q4" s="779"/>
    </row>
    <row r="5" spans="1:17" ht="30" customHeight="1" x14ac:dyDescent="0.2">
      <c r="B5" s="794"/>
      <c r="C5" s="795"/>
      <c r="D5" s="532"/>
      <c r="E5" s="711" t="s">
        <v>2729</v>
      </c>
      <c r="F5" s="712" t="s">
        <v>2813</v>
      </c>
      <c r="G5" s="712" t="s">
        <v>2728</v>
      </c>
      <c r="H5" s="713" t="s">
        <v>2718</v>
      </c>
      <c r="I5" s="791"/>
      <c r="J5" s="791"/>
      <c r="K5" s="792"/>
      <c r="L5" s="791"/>
      <c r="M5" s="793"/>
      <c r="N5" s="791"/>
      <c r="O5" s="531"/>
      <c r="P5" s="668" t="s">
        <v>2734</v>
      </c>
      <c r="Q5" s="669" t="s">
        <v>2735</v>
      </c>
    </row>
    <row r="6" spans="1:17" ht="30" hidden="1" customHeight="1" x14ac:dyDescent="0.2">
      <c r="B6" s="618"/>
      <c r="C6" s="619"/>
      <c r="D6" s="532"/>
      <c r="E6" s="533" t="s">
        <v>1562</v>
      </c>
      <c r="F6" s="534" t="s">
        <v>1563</v>
      </c>
      <c r="G6" s="534" t="s">
        <v>1575</v>
      </c>
      <c r="H6" s="535" t="s">
        <v>634</v>
      </c>
      <c r="I6" s="535" t="s">
        <v>1564</v>
      </c>
      <c r="J6" s="534" t="s">
        <v>1574</v>
      </c>
      <c r="K6" s="535" t="s">
        <v>637</v>
      </c>
      <c r="L6" s="534" t="s">
        <v>1576</v>
      </c>
      <c r="M6" s="574" t="s">
        <v>1565</v>
      </c>
      <c r="N6" s="574" t="s">
        <v>1577</v>
      </c>
      <c r="O6" s="531"/>
      <c r="P6" s="169"/>
      <c r="Q6" s="170"/>
    </row>
    <row r="7" spans="1:17" ht="10.5" customHeight="1" x14ac:dyDescent="0.2">
      <c r="A7" s="143"/>
      <c r="B7" s="536"/>
      <c r="C7" s="537"/>
      <c r="D7" s="537"/>
      <c r="E7" s="538" t="s">
        <v>632</v>
      </c>
      <c r="F7" s="539" t="s">
        <v>633</v>
      </c>
      <c r="G7" s="540" t="s">
        <v>155</v>
      </c>
      <c r="H7" s="539" t="s">
        <v>634</v>
      </c>
      <c r="I7" s="540" t="s">
        <v>635</v>
      </c>
      <c r="J7" s="539" t="s">
        <v>636</v>
      </c>
      <c r="K7" s="540" t="s">
        <v>637</v>
      </c>
      <c r="L7" s="539" t="s">
        <v>156</v>
      </c>
      <c r="M7" s="541" t="s">
        <v>638</v>
      </c>
      <c r="N7" s="541" t="s">
        <v>639</v>
      </c>
      <c r="O7" s="531"/>
      <c r="P7" s="171" t="s">
        <v>640</v>
      </c>
      <c r="Q7" s="172" t="s">
        <v>641</v>
      </c>
    </row>
    <row r="8" spans="1:17" ht="15" customHeight="1" x14ac:dyDescent="0.25">
      <c r="A8" s="143" t="s">
        <v>2074</v>
      </c>
      <c r="B8" s="594" t="s">
        <v>418</v>
      </c>
      <c r="C8" s="585" t="s">
        <v>3226</v>
      </c>
      <c r="D8" s="640" t="s">
        <v>48</v>
      </c>
      <c r="E8" s="466"/>
      <c r="F8" s="639">
        <v>0</v>
      </c>
      <c r="G8" s="639">
        <v>0</v>
      </c>
      <c r="H8" s="466"/>
      <c r="I8" s="639">
        <v>0</v>
      </c>
      <c r="J8" s="639">
        <v>0</v>
      </c>
      <c r="K8" s="639">
        <v>0</v>
      </c>
      <c r="L8" s="639">
        <v>0</v>
      </c>
      <c r="M8" s="466"/>
      <c r="N8" s="466"/>
      <c r="O8" s="546"/>
      <c r="P8" s="237">
        <f t="shared" ref="P8:P39" si="0">IF(OR(H8="NA",E8="NA",F8="NA",G8="NA"),"NA",SUM(H8)-SUM(E8:G8))</f>
        <v>0</v>
      </c>
      <c r="Q8" s="238">
        <f t="shared" ref="Q8:Q39" si="1">IF(OR(M8="NA",H8="NA",I8="NA",J8="NA",K8="NA",L8="NA"),"NA",SUM(M8)-SUM(H8:L8))</f>
        <v>0</v>
      </c>
    </row>
    <row r="9" spans="1:17" ht="10.9" customHeight="1" x14ac:dyDescent="0.25">
      <c r="A9" s="143"/>
      <c r="B9" s="641" t="s">
        <v>419</v>
      </c>
      <c r="C9" s="550" t="s">
        <v>3227</v>
      </c>
      <c r="D9" s="532" t="s">
        <v>48</v>
      </c>
      <c r="E9" s="473">
        <v>0</v>
      </c>
      <c r="F9" s="473">
        <v>0</v>
      </c>
      <c r="G9" s="473">
        <v>0</v>
      </c>
      <c r="H9" s="473">
        <v>0</v>
      </c>
      <c r="I9" s="473">
        <v>0</v>
      </c>
      <c r="J9" s="473">
        <v>0</v>
      </c>
      <c r="K9" s="473">
        <v>0</v>
      </c>
      <c r="L9" s="473">
        <v>0</v>
      </c>
      <c r="M9" s="473">
        <v>0</v>
      </c>
      <c r="N9" s="473">
        <v>0</v>
      </c>
      <c r="O9" s="546"/>
      <c r="P9" s="178">
        <f t="shared" si="0"/>
        <v>0</v>
      </c>
      <c r="Q9" s="179">
        <f t="shared" si="1"/>
        <v>0</v>
      </c>
    </row>
    <row r="10" spans="1:17" ht="10.9" customHeight="1" x14ac:dyDescent="0.25">
      <c r="A10" s="143" t="s">
        <v>2075</v>
      </c>
      <c r="B10" s="642" t="s">
        <v>420</v>
      </c>
      <c r="C10" s="552" t="s">
        <v>3228</v>
      </c>
      <c r="D10" s="553" t="s">
        <v>48</v>
      </c>
      <c r="E10" s="475" t="str">
        <f>IF(+E8="","",+E8)</f>
        <v/>
      </c>
      <c r="F10" s="473">
        <v>0</v>
      </c>
      <c r="G10" s="473">
        <v>0</v>
      </c>
      <c r="H10" s="475" t="str">
        <f>IF(+H8="","",+H8)</f>
        <v/>
      </c>
      <c r="I10" s="473">
        <v>0</v>
      </c>
      <c r="J10" s="473">
        <v>0</v>
      </c>
      <c r="K10" s="473">
        <v>0</v>
      </c>
      <c r="L10" s="473">
        <v>0</v>
      </c>
      <c r="M10" s="478" t="str">
        <f>IF(+M8="","",+M8)</f>
        <v/>
      </c>
      <c r="N10" s="478" t="str">
        <f>IF(+N8="","",+N8)</f>
        <v/>
      </c>
      <c r="O10" s="546"/>
      <c r="P10" s="181">
        <f t="shared" si="0"/>
        <v>0</v>
      </c>
      <c r="Q10" s="182">
        <f t="shared" si="1"/>
        <v>0</v>
      </c>
    </row>
    <row r="11" spans="1:17" ht="10.9" customHeight="1" x14ac:dyDescent="0.25">
      <c r="A11" s="143"/>
      <c r="B11" s="641" t="s">
        <v>421</v>
      </c>
      <c r="C11" s="550" t="s">
        <v>3229</v>
      </c>
      <c r="D11" s="532" t="s">
        <v>48</v>
      </c>
      <c r="E11" s="473">
        <v>0</v>
      </c>
      <c r="F11" s="473">
        <v>0</v>
      </c>
      <c r="G11" s="473">
        <v>0</v>
      </c>
      <c r="H11" s="473">
        <v>0</v>
      </c>
      <c r="I11" s="473">
        <v>0</v>
      </c>
      <c r="J11" s="473">
        <v>0</v>
      </c>
      <c r="K11" s="473">
        <v>0</v>
      </c>
      <c r="L11" s="473">
        <v>0</v>
      </c>
      <c r="M11" s="473">
        <v>0</v>
      </c>
      <c r="N11" s="473">
        <v>0</v>
      </c>
      <c r="O11" s="546"/>
      <c r="P11" s="178">
        <f t="shared" si="0"/>
        <v>0</v>
      </c>
      <c r="Q11" s="179">
        <f t="shared" si="1"/>
        <v>0</v>
      </c>
    </row>
    <row r="12" spans="1:17" ht="10.9" customHeight="1" x14ac:dyDescent="0.25">
      <c r="A12" s="143"/>
      <c r="B12" s="641" t="s">
        <v>422</v>
      </c>
      <c r="C12" s="550" t="s">
        <v>3230</v>
      </c>
      <c r="D12" s="532" t="s">
        <v>48</v>
      </c>
      <c r="E12" s="473">
        <v>0</v>
      </c>
      <c r="F12" s="473">
        <v>0</v>
      </c>
      <c r="G12" s="473">
        <v>0</v>
      </c>
      <c r="H12" s="473">
        <v>0</v>
      </c>
      <c r="I12" s="473">
        <v>0</v>
      </c>
      <c r="J12" s="473">
        <v>0</v>
      </c>
      <c r="K12" s="473">
        <v>0</v>
      </c>
      <c r="L12" s="473">
        <v>0</v>
      </c>
      <c r="M12" s="473">
        <v>0</v>
      </c>
      <c r="N12" s="473">
        <v>0</v>
      </c>
      <c r="O12" s="546"/>
      <c r="P12" s="178">
        <f t="shared" si="0"/>
        <v>0</v>
      </c>
      <c r="Q12" s="179">
        <f t="shared" si="1"/>
        <v>0</v>
      </c>
    </row>
    <row r="13" spans="1:17" ht="10.9" customHeight="1" x14ac:dyDescent="0.25">
      <c r="A13" s="143" t="s">
        <v>2076</v>
      </c>
      <c r="B13" s="642" t="s">
        <v>423</v>
      </c>
      <c r="C13" s="552" t="s">
        <v>3231</v>
      </c>
      <c r="D13" s="553" t="s">
        <v>48</v>
      </c>
      <c r="E13" s="475" t="str">
        <f>IF(+E8="","",+E8)</f>
        <v/>
      </c>
      <c r="F13" s="473">
        <v>0</v>
      </c>
      <c r="G13" s="473">
        <v>0</v>
      </c>
      <c r="H13" s="475" t="str">
        <f>IF(+H8="","",+H8)</f>
        <v/>
      </c>
      <c r="I13" s="473">
        <v>0</v>
      </c>
      <c r="J13" s="473">
        <v>0</v>
      </c>
      <c r="K13" s="473">
        <v>0</v>
      </c>
      <c r="L13" s="473">
        <v>0</v>
      </c>
      <c r="M13" s="475" t="str">
        <f>IF(+M8="","",+M8)</f>
        <v/>
      </c>
      <c r="N13" s="475" t="str">
        <f>IF(+N8="","",+N8)</f>
        <v/>
      </c>
      <c r="O13" s="546"/>
      <c r="P13" s="181">
        <f t="shared" si="0"/>
        <v>0</v>
      </c>
      <c r="Q13" s="182">
        <f t="shared" si="1"/>
        <v>0</v>
      </c>
    </row>
    <row r="14" spans="1:17" ht="10.9" customHeight="1" x14ac:dyDescent="0.25">
      <c r="A14" s="143"/>
      <c r="B14" s="641" t="s">
        <v>424</v>
      </c>
      <c r="C14" s="550" t="s">
        <v>3232</v>
      </c>
      <c r="D14" s="532" t="s">
        <v>48</v>
      </c>
      <c r="E14" s="473">
        <v>0</v>
      </c>
      <c r="F14" s="473">
        <v>0</v>
      </c>
      <c r="G14" s="473">
        <v>0</v>
      </c>
      <c r="H14" s="473">
        <v>0</v>
      </c>
      <c r="I14" s="473">
        <v>0</v>
      </c>
      <c r="J14" s="473">
        <v>0</v>
      </c>
      <c r="K14" s="473">
        <v>0</v>
      </c>
      <c r="L14" s="473">
        <v>0</v>
      </c>
      <c r="M14" s="473">
        <v>0</v>
      </c>
      <c r="N14" s="473">
        <v>0</v>
      </c>
      <c r="O14" s="546"/>
      <c r="P14" s="178">
        <f t="shared" si="0"/>
        <v>0</v>
      </c>
      <c r="Q14" s="179">
        <f t="shared" si="1"/>
        <v>0</v>
      </c>
    </row>
    <row r="15" spans="1:17" ht="10.9" customHeight="1" x14ac:dyDescent="0.25">
      <c r="A15" s="143" t="s">
        <v>2077</v>
      </c>
      <c r="B15" s="642" t="s">
        <v>425</v>
      </c>
      <c r="C15" s="552" t="s">
        <v>3233</v>
      </c>
      <c r="D15" s="553" t="s">
        <v>48</v>
      </c>
      <c r="E15" s="475" t="str">
        <f>IF(+E8="","",+E8)</f>
        <v/>
      </c>
      <c r="F15" s="473">
        <v>0</v>
      </c>
      <c r="G15" s="473">
        <v>0</v>
      </c>
      <c r="H15" s="478" t="str">
        <f>IF(+H8="","",+H8)</f>
        <v/>
      </c>
      <c r="I15" s="473">
        <v>0</v>
      </c>
      <c r="J15" s="473">
        <v>0</v>
      </c>
      <c r="K15" s="473">
        <v>0</v>
      </c>
      <c r="L15" s="473">
        <v>0</v>
      </c>
      <c r="M15" s="475" t="str">
        <f>IF(+M8="","",+M8)</f>
        <v/>
      </c>
      <c r="N15" s="475" t="str">
        <f>IF(+N8="","",+N8)</f>
        <v/>
      </c>
      <c r="O15" s="546"/>
      <c r="P15" s="181">
        <f t="shared" si="0"/>
        <v>0</v>
      </c>
      <c r="Q15" s="182">
        <f t="shared" si="1"/>
        <v>0</v>
      </c>
    </row>
    <row r="16" spans="1:17" ht="10.9" customHeight="1" x14ac:dyDescent="0.25">
      <c r="A16" s="143"/>
      <c r="B16" s="641" t="s">
        <v>426</v>
      </c>
      <c r="C16" s="550" t="s">
        <v>3234</v>
      </c>
      <c r="D16" s="532" t="s">
        <v>48</v>
      </c>
      <c r="E16" s="473">
        <v>0</v>
      </c>
      <c r="F16" s="473">
        <v>0</v>
      </c>
      <c r="G16" s="473">
        <v>0</v>
      </c>
      <c r="H16" s="473">
        <v>0</v>
      </c>
      <c r="I16" s="473">
        <v>0</v>
      </c>
      <c r="J16" s="473">
        <v>0</v>
      </c>
      <c r="K16" s="473">
        <v>0</v>
      </c>
      <c r="L16" s="473">
        <v>0</v>
      </c>
      <c r="M16" s="473">
        <v>0</v>
      </c>
      <c r="N16" s="473">
        <v>0</v>
      </c>
      <c r="O16" s="546"/>
      <c r="P16" s="178">
        <f t="shared" si="0"/>
        <v>0</v>
      </c>
      <c r="Q16" s="179">
        <f t="shared" si="1"/>
        <v>0</v>
      </c>
    </row>
    <row r="17" spans="1:17" ht="10.9" customHeight="1" x14ac:dyDescent="0.25">
      <c r="A17" s="143" t="s">
        <v>2078</v>
      </c>
      <c r="B17" s="643" t="s">
        <v>427</v>
      </c>
      <c r="C17" s="563" t="s">
        <v>3235</v>
      </c>
      <c r="D17" s="537" t="s">
        <v>48</v>
      </c>
      <c r="E17" s="478" t="str">
        <f>IF(+E8="","",+E8)</f>
        <v/>
      </c>
      <c r="F17" s="474">
        <v>0</v>
      </c>
      <c r="G17" s="474">
        <v>0</v>
      </c>
      <c r="H17" s="478" t="str">
        <f>IF(+H8="","",+H8)</f>
        <v/>
      </c>
      <c r="I17" s="474">
        <v>0</v>
      </c>
      <c r="J17" s="474">
        <v>0</v>
      </c>
      <c r="K17" s="474">
        <v>0</v>
      </c>
      <c r="L17" s="474">
        <v>0</v>
      </c>
      <c r="M17" s="478" t="str">
        <f>IF(+M8="","",+M8)</f>
        <v/>
      </c>
      <c r="N17" s="478" t="str">
        <f>IF(+N8="","",+N8)</f>
        <v/>
      </c>
      <c r="O17" s="546"/>
      <c r="P17" s="188">
        <f t="shared" si="0"/>
        <v>0</v>
      </c>
      <c r="Q17" s="189">
        <f t="shared" si="1"/>
        <v>0</v>
      </c>
    </row>
    <row r="18" spans="1:17" ht="15" customHeight="1" x14ac:dyDescent="0.25">
      <c r="A18" s="143" t="s">
        <v>2079</v>
      </c>
      <c r="B18" s="594" t="s">
        <v>428</v>
      </c>
      <c r="C18" s="585" t="s">
        <v>3236</v>
      </c>
      <c r="D18" s="640" t="s">
        <v>48</v>
      </c>
      <c r="E18" s="154"/>
      <c r="F18" s="154"/>
      <c r="G18" s="154"/>
      <c r="H18" s="154" t="str">
        <f t="shared" ref="H18:H81" si="2">IF(OR(E18="NA",F18="NA",G18="NA"),"NA",IF(AND(E18="",F18="",G18=""),"",SUM(E18:G18)))</f>
        <v/>
      </c>
      <c r="I18" s="154"/>
      <c r="J18" s="154"/>
      <c r="K18" s="154"/>
      <c r="L18" s="154"/>
      <c r="M18" s="154" t="str">
        <f t="shared" ref="M18:M81" si="3">IF(OR(H18="NA",I18="NA",J18="NA",K18="NA",L18="NA"),"NA",IF(AND(H18="",I18="",J18="",K18="",L18=""),"",SUM(H18:L18)))</f>
        <v/>
      </c>
      <c r="N18" s="154"/>
      <c r="O18" s="546"/>
      <c r="P18" s="237">
        <f t="shared" si="0"/>
        <v>0</v>
      </c>
      <c r="Q18" s="238">
        <f t="shared" si="1"/>
        <v>0</v>
      </c>
    </row>
    <row r="19" spans="1:17" ht="10.9" customHeight="1" x14ac:dyDescent="0.25">
      <c r="A19" s="143" t="s">
        <v>2080</v>
      </c>
      <c r="B19" s="641" t="s">
        <v>429</v>
      </c>
      <c r="C19" s="550" t="s">
        <v>3227</v>
      </c>
      <c r="D19" s="532" t="s">
        <v>48</v>
      </c>
      <c r="E19" s="89"/>
      <c r="F19" s="89"/>
      <c r="G19" s="89"/>
      <c r="H19" s="89" t="str">
        <f t="shared" si="2"/>
        <v/>
      </c>
      <c r="I19" s="89"/>
      <c r="J19" s="89"/>
      <c r="K19" s="89"/>
      <c r="L19" s="89"/>
      <c r="M19" s="89" t="str">
        <f t="shared" si="3"/>
        <v/>
      </c>
      <c r="N19" s="89"/>
      <c r="O19" s="546"/>
      <c r="P19" s="178">
        <f t="shared" si="0"/>
        <v>0</v>
      </c>
      <c r="Q19" s="179">
        <f t="shared" si="1"/>
        <v>0</v>
      </c>
    </row>
    <row r="20" spans="1:17" ht="10.9" customHeight="1" x14ac:dyDescent="0.25">
      <c r="A20" s="143" t="s">
        <v>2081</v>
      </c>
      <c r="B20" s="642" t="s">
        <v>430</v>
      </c>
      <c r="C20" s="552" t="s">
        <v>3228</v>
      </c>
      <c r="D20" s="553" t="s">
        <v>48</v>
      </c>
      <c r="E20" s="148"/>
      <c r="F20" s="148"/>
      <c r="G20" s="473">
        <v>0</v>
      </c>
      <c r="H20" s="148" t="str">
        <f>IF(OR(E20="NA",F20="NA"),"NA",IF(AND(E20="",F20=""),"",SUM(E20:G20)))</f>
        <v/>
      </c>
      <c r="I20" s="148"/>
      <c r="J20" s="148"/>
      <c r="K20" s="148"/>
      <c r="L20" s="473">
        <v>0</v>
      </c>
      <c r="M20" s="148" t="str">
        <f>IF(OR(H20="NA",I20="NA",J20="NA",K20="NA"),"NA",IF(AND(H20="",I20="",J20="",K20=""),"",SUM(H20:L20)))</f>
        <v/>
      </c>
      <c r="N20" s="148"/>
      <c r="O20" s="546"/>
      <c r="P20" s="181">
        <f t="shared" si="0"/>
        <v>0</v>
      </c>
      <c r="Q20" s="182">
        <f t="shared" si="1"/>
        <v>0</v>
      </c>
    </row>
    <row r="21" spans="1:17" ht="10.9" customHeight="1" x14ac:dyDescent="0.25">
      <c r="A21" s="143" t="s">
        <v>2082</v>
      </c>
      <c r="B21" s="641" t="s">
        <v>431</v>
      </c>
      <c r="C21" s="550" t="s">
        <v>3229</v>
      </c>
      <c r="D21" s="532" t="s">
        <v>48</v>
      </c>
      <c r="E21" s="89"/>
      <c r="F21" s="89"/>
      <c r="G21" s="89"/>
      <c r="H21" s="89" t="str">
        <f t="shared" si="2"/>
        <v/>
      </c>
      <c r="I21" s="89"/>
      <c r="J21" s="89"/>
      <c r="K21" s="89"/>
      <c r="L21" s="89"/>
      <c r="M21" s="89" t="str">
        <f t="shared" si="3"/>
        <v/>
      </c>
      <c r="N21" s="89"/>
      <c r="O21" s="546"/>
      <c r="P21" s="178">
        <f t="shared" si="0"/>
        <v>0</v>
      </c>
      <c r="Q21" s="179">
        <f t="shared" si="1"/>
        <v>0</v>
      </c>
    </row>
    <row r="22" spans="1:17" ht="10.9" customHeight="1" x14ac:dyDescent="0.25">
      <c r="A22" s="143" t="s">
        <v>2083</v>
      </c>
      <c r="B22" s="641" t="s">
        <v>432</v>
      </c>
      <c r="C22" s="550" t="s">
        <v>3230</v>
      </c>
      <c r="D22" s="532" t="s">
        <v>48</v>
      </c>
      <c r="E22" s="89"/>
      <c r="F22" s="89"/>
      <c r="G22" s="89"/>
      <c r="H22" s="89" t="str">
        <f t="shared" si="2"/>
        <v/>
      </c>
      <c r="I22" s="89"/>
      <c r="J22" s="89"/>
      <c r="K22" s="89"/>
      <c r="L22" s="89"/>
      <c r="M22" s="89" t="str">
        <f t="shared" si="3"/>
        <v/>
      </c>
      <c r="N22" s="89"/>
      <c r="O22" s="546"/>
      <c r="P22" s="178">
        <f t="shared" si="0"/>
        <v>0</v>
      </c>
      <c r="Q22" s="179">
        <f t="shared" si="1"/>
        <v>0</v>
      </c>
    </row>
    <row r="23" spans="1:17" ht="10.9" customHeight="1" x14ac:dyDescent="0.25">
      <c r="A23" s="143" t="s">
        <v>2084</v>
      </c>
      <c r="B23" s="642" t="s">
        <v>433</v>
      </c>
      <c r="C23" s="552" t="s">
        <v>3231</v>
      </c>
      <c r="D23" s="553" t="s">
        <v>48</v>
      </c>
      <c r="E23" s="148"/>
      <c r="F23" s="148"/>
      <c r="G23" s="148"/>
      <c r="H23" s="148" t="str">
        <f t="shared" si="2"/>
        <v/>
      </c>
      <c r="I23" s="148"/>
      <c r="J23" s="148"/>
      <c r="K23" s="148"/>
      <c r="L23" s="148"/>
      <c r="M23" s="148" t="str">
        <f t="shared" si="3"/>
        <v/>
      </c>
      <c r="N23" s="148"/>
      <c r="O23" s="546"/>
      <c r="P23" s="181">
        <f t="shared" si="0"/>
        <v>0</v>
      </c>
      <c r="Q23" s="182">
        <f t="shared" si="1"/>
        <v>0</v>
      </c>
    </row>
    <row r="24" spans="1:17" ht="10.9" customHeight="1" x14ac:dyDescent="0.25">
      <c r="A24" s="143" t="s">
        <v>2418</v>
      </c>
      <c r="B24" s="641" t="s">
        <v>434</v>
      </c>
      <c r="C24" s="550" t="s">
        <v>3237</v>
      </c>
      <c r="D24" s="532" t="s">
        <v>48</v>
      </c>
      <c r="E24" s="89"/>
      <c r="F24" s="89"/>
      <c r="G24" s="89"/>
      <c r="H24" s="89" t="str">
        <f t="shared" si="2"/>
        <v/>
      </c>
      <c r="I24" s="89"/>
      <c r="J24" s="89"/>
      <c r="K24" s="89"/>
      <c r="L24" s="89"/>
      <c r="M24" s="89" t="str">
        <f t="shared" si="3"/>
        <v/>
      </c>
      <c r="N24" s="89"/>
      <c r="O24" s="546"/>
      <c r="P24" s="178">
        <f t="shared" si="0"/>
        <v>0</v>
      </c>
      <c r="Q24" s="179">
        <f t="shared" si="1"/>
        <v>0</v>
      </c>
    </row>
    <row r="25" spans="1:17" ht="10.9" customHeight="1" x14ac:dyDescent="0.25">
      <c r="A25" s="143" t="s">
        <v>2085</v>
      </c>
      <c r="B25" s="642" t="s">
        <v>435</v>
      </c>
      <c r="C25" s="552" t="s">
        <v>3238</v>
      </c>
      <c r="D25" s="553" t="s">
        <v>48</v>
      </c>
      <c r="E25" s="148"/>
      <c r="F25" s="148"/>
      <c r="G25" s="148"/>
      <c r="H25" s="148" t="str">
        <f t="shared" si="2"/>
        <v/>
      </c>
      <c r="I25" s="148"/>
      <c r="J25" s="148"/>
      <c r="K25" s="148"/>
      <c r="L25" s="148"/>
      <c r="M25" s="148" t="str">
        <f t="shared" si="3"/>
        <v/>
      </c>
      <c r="N25" s="148"/>
      <c r="O25" s="546"/>
      <c r="P25" s="181">
        <f t="shared" si="0"/>
        <v>0</v>
      </c>
      <c r="Q25" s="182">
        <f t="shared" si="1"/>
        <v>0</v>
      </c>
    </row>
    <row r="26" spans="1:17" ht="10.9" customHeight="1" x14ac:dyDescent="0.25">
      <c r="A26" s="143" t="s">
        <v>2086</v>
      </c>
      <c r="B26" s="641" t="s">
        <v>436</v>
      </c>
      <c r="C26" s="550" t="s">
        <v>3234</v>
      </c>
      <c r="D26" s="532" t="s">
        <v>48</v>
      </c>
      <c r="E26" s="89"/>
      <c r="F26" s="89"/>
      <c r="G26" s="89"/>
      <c r="H26" s="89" t="str">
        <f t="shared" si="2"/>
        <v/>
      </c>
      <c r="I26" s="89"/>
      <c r="J26" s="89"/>
      <c r="K26" s="89"/>
      <c r="L26" s="89"/>
      <c r="M26" s="89" t="str">
        <f t="shared" si="3"/>
        <v/>
      </c>
      <c r="N26" s="89"/>
      <c r="O26" s="546"/>
      <c r="P26" s="178">
        <f t="shared" si="0"/>
        <v>0</v>
      </c>
      <c r="Q26" s="179">
        <f t="shared" si="1"/>
        <v>0</v>
      </c>
    </row>
    <row r="27" spans="1:17" ht="10.9" customHeight="1" x14ac:dyDescent="0.25">
      <c r="A27" s="143" t="s">
        <v>2087</v>
      </c>
      <c r="B27" s="643" t="s">
        <v>437</v>
      </c>
      <c r="C27" s="563" t="s">
        <v>3235</v>
      </c>
      <c r="D27" s="537" t="s">
        <v>48</v>
      </c>
      <c r="E27" s="146"/>
      <c r="F27" s="146"/>
      <c r="G27" s="146"/>
      <c r="H27" s="146" t="str">
        <f t="shared" si="2"/>
        <v/>
      </c>
      <c r="I27" s="146"/>
      <c r="J27" s="146"/>
      <c r="K27" s="146"/>
      <c r="L27" s="146"/>
      <c r="M27" s="146" t="str">
        <f t="shared" si="3"/>
        <v/>
      </c>
      <c r="N27" s="146"/>
      <c r="O27" s="546"/>
      <c r="P27" s="188">
        <f t="shared" si="0"/>
        <v>0</v>
      </c>
      <c r="Q27" s="189">
        <f t="shared" si="1"/>
        <v>0</v>
      </c>
    </row>
    <row r="28" spans="1:17" ht="15" customHeight="1" x14ac:dyDescent="0.25">
      <c r="A28" s="143" t="s">
        <v>2088</v>
      </c>
      <c r="B28" s="594" t="s">
        <v>438</v>
      </c>
      <c r="C28" s="585" t="s">
        <v>3239</v>
      </c>
      <c r="D28" s="640" t="s">
        <v>48</v>
      </c>
      <c r="E28" s="154"/>
      <c r="F28" s="154"/>
      <c r="G28" s="154"/>
      <c r="H28" s="154" t="str">
        <f t="shared" si="2"/>
        <v/>
      </c>
      <c r="I28" s="154"/>
      <c r="J28" s="154"/>
      <c r="K28" s="154"/>
      <c r="L28" s="154"/>
      <c r="M28" s="154" t="str">
        <f t="shared" si="3"/>
        <v/>
      </c>
      <c r="N28" s="154"/>
      <c r="O28" s="546"/>
      <c r="P28" s="237">
        <f t="shared" si="0"/>
        <v>0</v>
      </c>
      <c r="Q28" s="238">
        <f t="shared" si="1"/>
        <v>0</v>
      </c>
    </row>
    <row r="29" spans="1:17" ht="10.9" customHeight="1" x14ac:dyDescent="0.25">
      <c r="A29" s="143" t="s">
        <v>2089</v>
      </c>
      <c r="B29" s="641" t="s">
        <v>439</v>
      </c>
      <c r="C29" s="550" t="s">
        <v>3227</v>
      </c>
      <c r="D29" s="532" t="s">
        <v>48</v>
      </c>
      <c r="E29" s="89"/>
      <c r="F29" s="89"/>
      <c r="G29" s="89"/>
      <c r="H29" s="89" t="str">
        <f t="shared" si="2"/>
        <v/>
      </c>
      <c r="I29" s="89"/>
      <c r="J29" s="89"/>
      <c r="K29" s="89"/>
      <c r="L29" s="89"/>
      <c r="M29" s="89" t="str">
        <f t="shared" si="3"/>
        <v/>
      </c>
      <c r="N29" s="89"/>
      <c r="O29" s="546"/>
      <c r="P29" s="178">
        <f t="shared" si="0"/>
        <v>0</v>
      </c>
      <c r="Q29" s="179">
        <f t="shared" si="1"/>
        <v>0</v>
      </c>
    </row>
    <row r="30" spans="1:17" ht="10.9" customHeight="1" x14ac:dyDescent="0.25">
      <c r="A30" s="143" t="s">
        <v>2090</v>
      </c>
      <c r="B30" s="642" t="s">
        <v>440</v>
      </c>
      <c r="C30" s="552" t="s">
        <v>3228</v>
      </c>
      <c r="D30" s="553" t="s">
        <v>48</v>
      </c>
      <c r="E30" s="148"/>
      <c r="F30" s="148"/>
      <c r="G30" s="473">
        <v>0</v>
      </c>
      <c r="H30" s="148" t="str">
        <f>IF(OR(E30="NA",F30="NA"),"NA",IF(AND(E30="",F30=""),"",SUM(E30:G30)))</f>
        <v/>
      </c>
      <c r="I30" s="148"/>
      <c r="J30" s="148"/>
      <c r="K30" s="148"/>
      <c r="L30" s="473">
        <v>0</v>
      </c>
      <c r="M30" s="148" t="str">
        <f>IF(OR(H30="NA",I30="NA",J30="NA",K30="NA"),"NA",IF(AND(H30="",I30="",J30="",K30=""),"",SUM(H30:L30)))</f>
        <v/>
      </c>
      <c r="N30" s="148"/>
      <c r="O30" s="546"/>
      <c r="P30" s="181">
        <f t="shared" si="0"/>
        <v>0</v>
      </c>
      <c r="Q30" s="182">
        <f t="shared" si="1"/>
        <v>0</v>
      </c>
    </row>
    <row r="31" spans="1:17" ht="10.9" customHeight="1" x14ac:dyDescent="0.25">
      <c r="A31" s="143" t="s">
        <v>2091</v>
      </c>
      <c r="B31" s="641" t="s">
        <v>441</v>
      </c>
      <c r="C31" s="550" t="s">
        <v>3229</v>
      </c>
      <c r="D31" s="532" t="s">
        <v>48</v>
      </c>
      <c r="E31" s="155"/>
      <c r="F31" s="92"/>
      <c r="G31" s="92"/>
      <c r="H31" s="92" t="str">
        <f t="shared" si="2"/>
        <v/>
      </c>
      <c r="I31" s="92"/>
      <c r="J31" s="92"/>
      <c r="K31" s="92"/>
      <c r="L31" s="92"/>
      <c r="M31" s="92" t="str">
        <f t="shared" si="3"/>
        <v/>
      </c>
      <c r="N31" s="92"/>
      <c r="O31" s="546"/>
      <c r="P31" s="178">
        <f t="shared" si="0"/>
        <v>0</v>
      </c>
      <c r="Q31" s="179">
        <f t="shared" si="1"/>
        <v>0</v>
      </c>
    </row>
    <row r="32" spans="1:17" ht="10.9" customHeight="1" x14ac:dyDescent="0.25">
      <c r="A32" s="143" t="s">
        <v>2092</v>
      </c>
      <c r="B32" s="644" t="s">
        <v>698</v>
      </c>
      <c r="C32" s="645" t="s">
        <v>3240</v>
      </c>
      <c r="D32" s="532" t="s">
        <v>48</v>
      </c>
      <c r="E32" s="89"/>
      <c r="F32" s="155"/>
      <c r="G32" s="155"/>
      <c r="H32" s="155" t="str">
        <f t="shared" si="2"/>
        <v/>
      </c>
      <c r="I32" s="155"/>
      <c r="J32" s="155"/>
      <c r="K32" s="155"/>
      <c r="L32" s="155"/>
      <c r="M32" s="155" t="str">
        <f t="shared" si="3"/>
        <v/>
      </c>
      <c r="N32" s="155"/>
      <c r="O32" s="546"/>
      <c r="P32" s="178">
        <f t="shared" si="0"/>
        <v>0</v>
      </c>
      <c r="Q32" s="179">
        <f t="shared" si="1"/>
        <v>0</v>
      </c>
    </row>
    <row r="33" spans="1:17" ht="10.9" customHeight="1" x14ac:dyDescent="0.25">
      <c r="A33" s="143" t="s">
        <v>2093</v>
      </c>
      <c r="B33" s="641" t="s">
        <v>442</v>
      </c>
      <c r="C33" s="550" t="s">
        <v>3241</v>
      </c>
      <c r="D33" s="532" t="s">
        <v>48</v>
      </c>
      <c r="E33" s="89"/>
      <c r="F33" s="92"/>
      <c r="G33" s="92"/>
      <c r="H33" s="92" t="str">
        <f t="shared" si="2"/>
        <v/>
      </c>
      <c r="I33" s="92"/>
      <c r="J33" s="92"/>
      <c r="K33" s="92"/>
      <c r="L33" s="92"/>
      <c r="M33" s="92" t="str">
        <f t="shared" si="3"/>
        <v/>
      </c>
      <c r="N33" s="92"/>
      <c r="O33" s="546"/>
      <c r="P33" s="178">
        <f t="shared" si="0"/>
        <v>0</v>
      </c>
      <c r="Q33" s="179">
        <f t="shared" si="1"/>
        <v>0</v>
      </c>
    </row>
    <row r="34" spans="1:17" ht="10.9" customHeight="1" x14ac:dyDescent="0.25">
      <c r="A34" s="143" t="s">
        <v>2094</v>
      </c>
      <c r="B34" s="644" t="s">
        <v>699</v>
      </c>
      <c r="C34" s="645" t="s">
        <v>3240</v>
      </c>
      <c r="D34" s="646" t="s">
        <v>48</v>
      </c>
      <c r="E34" s="89"/>
      <c r="F34" s="155"/>
      <c r="G34" s="155"/>
      <c r="H34" s="155" t="str">
        <f t="shared" si="2"/>
        <v/>
      </c>
      <c r="I34" s="155"/>
      <c r="J34" s="155"/>
      <c r="K34" s="155"/>
      <c r="L34" s="155"/>
      <c r="M34" s="155" t="str">
        <f t="shared" si="3"/>
        <v/>
      </c>
      <c r="N34" s="155"/>
      <c r="O34" s="546"/>
      <c r="P34" s="178">
        <f t="shared" si="0"/>
        <v>0</v>
      </c>
      <c r="Q34" s="179">
        <f t="shared" si="1"/>
        <v>0</v>
      </c>
    </row>
    <row r="35" spans="1:17" ht="10.9" customHeight="1" x14ac:dyDescent="0.25">
      <c r="A35" s="143" t="s">
        <v>2095</v>
      </c>
      <c r="B35" s="642" t="s">
        <v>443</v>
      </c>
      <c r="C35" s="552" t="s">
        <v>3242</v>
      </c>
      <c r="D35" s="553" t="s">
        <v>48</v>
      </c>
      <c r="E35" s="152"/>
      <c r="F35" s="152"/>
      <c r="G35" s="152"/>
      <c r="H35" s="152" t="str">
        <f t="shared" si="2"/>
        <v/>
      </c>
      <c r="I35" s="152"/>
      <c r="J35" s="152"/>
      <c r="K35" s="152"/>
      <c r="L35" s="152"/>
      <c r="M35" s="152" t="str">
        <f t="shared" si="3"/>
        <v/>
      </c>
      <c r="N35" s="152"/>
      <c r="O35" s="546"/>
      <c r="P35" s="181">
        <f t="shared" si="0"/>
        <v>0</v>
      </c>
      <c r="Q35" s="182">
        <f t="shared" si="1"/>
        <v>0</v>
      </c>
    </row>
    <row r="36" spans="1:17" ht="10.9" customHeight="1" x14ac:dyDescent="0.25">
      <c r="A36" s="143" t="s">
        <v>2419</v>
      </c>
      <c r="B36" s="641" t="s">
        <v>444</v>
      </c>
      <c r="C36" s="550" t="s">
        <v>3232</v>
      </c>
      <c r="D36" s="532" t="s">
        <v>48</v>
      </c>
      <c r="E36" s="92"/>
      <c r="F36" s="92"/>
      <c r="G36" s="92"/>
      <c r="H36" s="92" t="str">
        <f t="shared" si="2"/>
        <v/>
      </c>
      <c r="I36" s="92"/>
      <c r="J36" s="92"/>
      <c r="K36" s="92"/>
      <c r="L36" s="92"/>
      <c r="M36" s="92" t="str">
        <f t="shared" si="3"/>
        <v/>
      </c>
      <c r="N36" s="92"/>
      <c r="O36" s="546"/>
      <c r="P36" s="178">
        <f t="shared" si="0"/>
        <v>0</v>
      </c>
      <c r="Q36" s="179">
        <f t="shared" si="1"/>
        <v>0</v>
      </c>
    </row>
    <row r="37" spans="1:17" ht="10.9" customHeight="1" x14ac:dyDescent="0.25">
      <c r="A37" s="143" t="s">
        <v>2096</v>
      </c>
      <c r="B37" s="642" t="s">
        <v>445</v>
      </c>
      <c r="C37" s="552" t="s">
        <v>3233</v>
      </c>
      <c r="D37" s="553" t="s">
        <v>48</v>
      </c>
      <c r="E37" s="152"/>
      <c r="F37" s="152"/>
      <c r="G37" s="152"/>
      <c r="H37" s="152" t="str">
        <f t="shared" si="2"/>
        <v/>
      </c>
      <c r="I37" s="152"/>
      <c r="J37" s="152"/>
      <c r="K37" s="152"/>
      <c r="L37" s="152"/>
      <c r="M37" s="152" t="str">
        <f t="shared" si="3"/>
        <v/>
      </c>
      <c r="N37" s="152"/>
      <c r="O37" s="546"/>
      <c r="P37" s="181">
        <f t="shared" si="0"/>
        <v>0</v>
      </c>
      <c r="Q37" s="182">
        <f t="shared" si="1"/>
        <v>0</v>
      </c>
    </row>
    <row r="38" spans="1:17" ht="10.9" customHeight="1" x14ac:dyDescent="0.25">
      <c r="A38" s="143" t="s">
        <v>2097</v>
      </c>
      <c r="B38" s="641" t="s">
        <v>446</v>
      </c>
      <c r="C38" s="550" t="s">
        <v>3234</v>
      </c>
      <c r="D38" s="532" t="s">
        <v>48</v>
      </c>
      <c r="E38" s="92"/>
      <c r="F38" s="92"/>
      <c r="G38" s="92"/>
      <c r="H38" s="92" t="str">
        <f t="shared" si="2"/>
        <v/>
      </c>
      <c r="I38" s="92"/>
      <c r="J38" s="92"/>
      <c r="K38" s="92"/>
      <c r="L38" s="92"/>
      <c r="M38" s="92" t="str">
        <f t="shared" si="3"/>
        <v/>
      </c>
      <c r="N38" s="92"/>
      <c r="O38" s="546"/>
      <c r="P38" s="178">
        <f t="shared" si="0"/>
        <v>0</v>
      </c>
      <c r="Q38" s="179">
        <f t="shared" si="1"/>
        <v>0</v>
      </c>
    </row>
    <row r="39" spans="1:17" ht="10.9" customHeight="1" x14ac:dyDescent="0.25">
      <c r="A39" s="143" t="s">
        <v>2098</v>
      </c>
      <c r="B39" s="643" t="s">
        <v>447</v>
      </c>
      <c r="C39" s="563" t="s">
        <v>3235</v>
      </c>
      <c r="D39" s="537" t="s">
        <v>48</v>
      </c>
      <c r="E39" s="153"/>
      <c r="F39" s="153"/>
      <c r="G39" s="153"/>
      <c r="H39" s="153" t="str">
        <f t="shared" si="2"/>
        <v/>
      </c>
      <c r="I39" s="153"/>
      <c r="J39" s="153"/>
      <c r="K39" s="153"/>
      <c r="L39" s="153"/>
      <c r="M39" s="153" t="str">
        <f t="shared" si="3"/>
        <v/>
      </c>
      <c r="N39" s="153"/>
      <c r="O39" s="546"/>
      <c r="P39" s="188">
        <f t="shared" si="0"/>
        <v>0</v>
      </c>
      <c r="Q39" s="189">
        <f t="shared" si="1"/>
        <v>0</v>
      </c>
    </row>
    <row r="40" spans="1:17" ht="15" customHeight="1" x14ac:dyDescent="0.25">
      <c r="A40" s="143" t="s">
        <v>2099</v>
      </c>
      <c r="B40" s="594" t="s">
        <v>448</v>
      </c>
      <c r="C40" s="585" t="s">
        <v>3243</v>
      </c>
      <c r="D40" s="640" t="s">
        <v>48</v>
      </c>
      <c r="E40" s="151"/>
      <c r="F40" s="151"/>
      <c r="G40" s="151"/>
      <c r="H40" s="151" t="str">
        <f t="shared" si="2"/>
        <v/>
      </c>
      <c r="I40" s="151"/>
      <c r="J40" s="151"/>
      <c r="K40" s="151"/>
      <c r="L40" s="151"/>
      <c r="M40" s="151" t="str">
        <f t="shared" si="3"/>
        <v/>
      </c>
      <c r="N40" s="151"/>
      <c r="O40" s="546"/>
      <c r="P40" s="237">
        <f t="shared" ref="P40:P71" si="4">IF(OR(H40="NA",E40="NA",F40="NA",G40="NA"),"NA",SUM(H40)-SUM(E40:G40))</f>
        <v>0</v>
      </c>
      <c r="Q40" s="238">
        <f t="shared" ref="Q40:Q71" si="5">IF(OR(M40="NA",H40="NA",I40="NA",J40="NA",K40="NA",L40="NA"),"NA",SUM(M40)-SUM(H40:L40))</f>
        <v>0</v>
      </c>
    </row>
    <row r="41" spans="1:17" ht="10.9" customHeight="1" x14ac:dyDescent="0.25">
      <c r="A41" s="143" t="s">
        <v>2100</v>
      </c>
      <c r="B41" s="641" t="s">
        <v>449</v>
      </c>
      <c r="C41" s="550" t="s">
        <v>3227</v>
      </c>
      <c r="D41" s="532" t="s">
        <v>48</v>
      </c>
      <c r="E41" s="156"/>
      <c r="F41" s="92"/>
      <c r="G41" s="92"/>
      <c r="H41" s="92" t="str">
        <f t="shared" si="2"/>
        <v/>
      </c>
      <c r="I41" s="92"/>
      <c r="J41" s="92"/>
      <c r="K41" s="92"/>
      <c r="L41" s="92"/>
      <c r="M41" s="92" t="str">
        <f t="shared" si="3"/>
        <v/>
      </c>
      <c r="N41" s="92"/>
      <c r="O41" s="546"/>
      <c r="P41" s="178">
        <f t="shared" si="4"/>
        <v>0</v>
      </c>
      <c r="Q41" s="179">
        <f t="shared" si="5"/>
        <v>0</v>
      </c>
    </row>
    <row r="42" spans="1:17" ht="10.9" customHeight="1" x14ac:dyDescent="0.25">
      <c r="A42" s="143" t="s">
        <v>2101</v>
      </c>
      <c r="B42" s="642" t="s">
        <v>450</v>
      </c>
      <c r="C42" s="552" t="s">
        <v>3228</v>
      </c>
      <c r="D42" s="553" t="s">
        <v>48</v>
      </c>
      <c r="E42" s="152"/>
      <c r="F42" s="152"/>
      <c r="G42" s="473">
        <v>0</v>
      </c>
      <c r="H42" s="148" t="str">
        <f>IF(OR(E42="NA",F42="NA"),"NA",IF(AND(E42="",F42=""),"",SUM(E42:G42)))</f>
        <v/>
      </c>
      <c r="I42" s="152"/>
      <c r="J42" s="152"/>
      <c r="K42" s="152"/>
      <c r="L42" s="473">
        <v>0</v>
      </c>
      <c r="M42" s="148" t="str">
        <f>IF(OR(H42="NA",I42="NA",J42="NA",K42="NA"),"NA",IF(AND(H42="",I42="",J42="",K42=""),"",SUM(H42:L42)))</f>
        <v/>
      </c>
      <c r="N42" s="152"/>
      <c r="O42" s="546"/>
      <c r="P42" s="181">
        <f t="shared" si="4"/>
        <v>0</v>
      </c>
      <c r="Q42" s="182">
        <f t="shared" si="5"/>
        <v>0</v>
      </c>
    </row>
    <row r="43" spans="1:17" ht="10.9" customHeight="1" x14ac:dyDescent="0.25">
      <c r="A43" s="143" t="s">
        <v>2102</v>
      </c>
      <c r="B43" s="641" t="s">
        <v>451</v>
      </c>
      <c r="C43" s="550" t="s">
        <v>3229</v>
      </c>
      <c r="D43" s="631" t="s">
        <v>48</v>
      </c>
      <c r="E43" s="92"/>
      <c r="F43" s="92"/>
      <c r="G43" s="92"/>
      <c r="H43" s="92" t="str">
        <f t="shared" si="2"/>
        <v/>
      </c>
      <c r="I43" s="92"/>
      <c r="J43" s="92"/>
      <c r="K43" s="92"/>
      <c r="L43" s="92"/>
      <c r="M43" s="92" t="str">
        <f t="shared" si="3"/>
        <v/>
      </c>
      <c r="N43" s="92"/>
      <c r="O43" s="546"/>
      <c r="P43" s="178">
        <f t="shared" si="4"/>
        <v>0</v>
      </c>
      <c r="Q43" s="179">
        <f t="shared" si="5"/>
        <v>0</v>
      </c>
    </row>
    <row r="44" spans="1:17" ht="10.9" customHeight="1" x14ac:dyDescent="0.25">
      <c r="A44" s="143" t="s">
        <v>2103</v>
      </c>
      <c r="B44" s="644" t="s">
        <v>700</v>
      </c>
      <c r="C44" s="645" t="s">
        <v>3240</v>
      </c>
      <c r="D44" s="647" t="s">
        <v>48</v>
      </c>
      <c r="E44" s="89"/>
      <c r="F44" s="155"/>
      <c r="G44" s="155"/>
      <c r="H44" s="155" t="str">
        <f t="shared" si="2"/>
        <v/>
      </c>
      <c r="I44" s="155"/>
      <c r="J44" s="155"/>
      <c r="K44" s="155"/>
      <c r="L44" s="155"/>
      <c r="M44" s="155" t="str">
        <f t="shared" si="3"/>
        <v/>
      </c>
      <c r="N44" s="155"/>
      <c r="O44" s="546"/>
      <c r="P44" s="178">
        <f t="shared" si="4"/>
        <v>0</v>
      </c>
      <c r="Q44" s="179">
        <f t="shared" si="5"/>
        <v>0</v>
      </c>
    </row>
    <row r="45" spans="1:17" ht="10.9" customHeight="1" x14ac:dyDescent="0.25">
      <c r="A45" s="143" t="s">
        <v>2104</v>
      </c>
      <c r="B45" s="641" t="s">
        <v>452</v>
      </c>
      <c r="C45" s="550" t="s">
        <v>3241</v>
      </c>
      <c r="D45" s="611" t="s">
        <v>48</v>
      </c>
      <c r="E45" s="89"/>
      <c r="F45" s="92"/>
      <c r="G45" s="92"/>
      <c r="H45" s="92" t="str">
        <f t="shared" si="2"/>
        <v/>
      </c>
      <c r="I45" s="92"/>
      <c r="J45" s="92"/>
      <c r="K45" s="92"/>
      <c r="L45" s="92"/>
      <c r="M45" s="92" t="str">
        <f t="shared" si="3"/>
        <v/>
      </c>
      <c r="N45" s="92"/>
      <c r="O45" s="546"/>
      <c r="P45" s="178">
        <f t="shared" si="4"/>
        <v>0</v>
      </c>
      <c r="Q45" s="179">
        <f t="shared" si="5"/>
        <v>0</v>
      </c>
    </row>
    <row r="46" spans="1:17" ht="10.9" customHeight="1" x14ac:dyDescent="0.25">
      <c r="A46" s="143" t="s">
        <v>2105</v>
      </c>
      <c r="B46" s="644" t="s">
        <v>701</v>
      </c>
      <c r="C46" s="645" t="s">
        <v>3240</v>
      </c>
      <c r="D46" s="647" t="s">
        <v>48</v>
      </c>
      <c r="E46" s="89"/>
      <c r="F46" s="155"/>
      <c r="G46" s="155"/>
      <c r="H46" s="155" t="str">
        <f t="shared" si="2"/>
        <v/>
      </c>
      <c r="I46" s="155"/>
      <c r="J46" s="155"/>
      <c r="K46" s="155"/>
      <c r="L46" s="155"/>
      <c r="M46" s="155" t="str">
        <f t="shared" si="3"/>
        <v/>
      </c>
      <c r="N46" s="155"/>
      <c r="O46" s="546"/>
      <c r="P46" s="178">
        <f t="shared" si="4"/>
        <v>0</v>
      </c>
      <c r="Q46" s="179">
        <f t="shared" si="5"/>
        <v>0</v>
      </c>
    </row>
    <row r="47" spans="1:17" ht="10.9" customHeight="1" x14ac:dyDescent="0.25">
      <c r="A47" s="143" t="s">
        <v>2106</v>
      </c>
      <c r="B47" s="642" t="s">
        <v>453</v>
      </c>
      <c r="C47" s="552" t="s">
        <v>3242</v>
      </c>
      <c r="D47" s="632" t="s">
        <v>48</v>
      </c>
      <c r="E47" s="152"/>
      <c r="F47" s="152"/>
      <c r="G47" s="152"/>
      <c r="H47" s="152" t="str">
        <f t="shared" si="2"/>
        <v/>
      </c>
      <c r="I47" s="152"/>
      <c r="J47" s="152"/>
      <c r="K47" s="152"/>
      <c r="L47" s="152"/>
      <c r="M47" s="152" t="str">
        <f t="shared" si="3"/>
        <v/>
      </c>
      <c r="N47" s="152"/>
      <c r="O47" s="546"/>
      <c r="P47" s="181">
        <f t="shared" si="4"/>
        <v>0</v>
      </c>
      <c r="Q47" s="182">
        <f t="shared" si="5"/>
        <v>0</v>
      </c>
    </row>
    <row r="48" spans="1:17" ht="10.9" customHeight="1" x14ac:dyDescent="0.25">
      <c r="A48" s="143" t="s">
        <v>2420</v>
      </c>
      <c r="B48" s="641" t="s">
        <v>454</v>
      </c>
      <c r="C48" s="550" t="s">
        <v>3232</v>
      </c>
      <c r="D48" s="611" t="s">
        <v>48</v>
      </c>
      <c r="E48" s="92"/>
      <c r="F48" s="92"/>
      <c r="G48" s="92"/>
      <c r="H48" s="92" t="str">
        <f t="shared" si="2"/>
        <v/>
      </c>
      <c r="I48" s="92"/>
      <c r="J48" s="92"/>
      <c r="K48" s="92"/>
      <c r="L48" s="92"/>
      <c r="M48" s="92" t="str">
        <f t="shared" si="3"/>
        <v/>
      </c>
      <c r="N48" s="92"/>
      <c r="O48" s="546"/>
      <c r="P48" s="178">
        <f t="shared" si="4"/>
        <v>0</v>
      </c>
      <c r="Q48" s="179">
        <f t="shared" si="5"/>
        <v>0</v>
      </c>
    </row>
    <row r="49" spans="1:17" ht="10.9" customHeight="1" x14ac:dyDescent="0.25">
      <c r="A49" s="143" t="s">
        <v>2107</v>
      </c>
      <c r="B49" s="642" t="s">
        <v>455</v>
      </c>
      <c r="C49" s="552" t="s">
        <v>3233</v>
      </c>
      <c r="D49" s="632" t="s">
        <v>48</v>
      </c>
      <c r="E49" s="152"/>
      <c r="F49" s="152"/>
      <c r="G49" s="152"/>
      <c r="H49" s="152" t="str">
        <f t="shared" si="2"/>
        <v/>
      </c>
      <c r="I49" s="152"/>
      <c r="J49" s="152"/>
      <c r="K49" s="152"/>
      <c r="L49" s="152"/>
      <c r="M49" s="152" t="str">
        <f t="shared" si="3"/>
        <v/>
      </c>
      <c r="N49" s="152"/>
      <c r="O49" s="546"/>
      <c r="P49" s="181">
        <f t="shared" si="4"/>
        <v>0</v>
      </c>
      <c r="Q49" s="182">
        <f t="shared" si="5"/>
        <v>0</v>
      </c>
    </row>
    <row r="50" spans="1:17" ht="10.9" customHeight="1" x14ac:dyDescent="0.25">
      <c r="A50" s="143" t="s">
        <v>2108</v>
      </c>
      <c r="B50" s="641" t="s">
        <v>456</v>
      </c>
      <c r="C50" s="550" t="s">
        <v>3234</v>
      </c>
      <c r="D50" s="611" t="s">
        <v>48</v>
      </c>
      <c r="E50" s="92"/>
      <c r="F50" s="92"/>
      <c r="G50" s="92"/>
      <c r="H50" s="92" t="str">
        <f t="shared" si="2"/>
        <v/>
      </c>
      <c r="I50" s="92"/>
      <c r="J50" s="92"/>
      <c r="K50" s="92"/>
      <c r="L50" s="92"/>
      <c r="M50" s="92" t="str">
        <f t="shared" si="3"/>
        <v/>
      </c>
      <c r="N50" s="92"/>
      <c r="O50" s="546"/>
      <c r="P50" s="178">
        <f t="shared" si="4"/>
        <v>0</v>
      </c>
      <c r="Q50" s="179">
        <f t="shared" si="5"/>
        <v>0</v>
      </c>
    </row>
    <row r="51" spans="1:17" ht="10.9" customHeight="1" x14ac:dyDescent="0.25">
      <c r="A51" s="143" t="s">
        <v>2109</v>
      </c>
      <c r="B51" s="643" t="s">
        <v>457</v>
      </c>
      <c r="C51" s="563" t="s">
        <v>3235</v>
      </c>
      <c r="D51" s="623" t="s">
        <v>48</v>
      </c>
      <c r="E51" s="153"/>
      <c r="F51" s="153"/>
      <c r="G51" s="153"/>
      <c r="H51" s="153" t="str">
        <f t="shared" si="2"/>
        <v/>
      </c>
      <c r="I51" s="153"/>
      <c r="J51" s="153"/>
      <c r="K51" s="153"/>
      <c r="L51" s="153"/>
      <c r="M51" s="153" t="str">
        <f t="shared" si="3"/>
        <v/>
      </c>
      <c r="N51" s="153"/>
      <c r="O51" s="546"/>
      <c r="P51" s="188">
        <f t="shared" si="4"/>
        <v>0</v>
      </c>
      <c r="Q51" s="189">
        <f t="shared" si="5"/>
        <v>0</v>
      </c>
    </row>
    <row r="52" spans="1:17" ht="15" customHeight="1" x14ac:dyDescent="0.25">
      <c r="A52" s="143" t="s">
        <v>2110</v>
      </c>
      <c r="B52" s="594" t="s">
        <v>458</v>
      </c>
      <c r="C52" s="585" t="s">
        <v>3030</v>
      </c>
      <c r="D52" s="640" t="s">
        <v>48</v>
      </c>
      <c r="E52" s="151"/>
      <c r="F52" s="151"/>
      <c r="G52" s="151"/>
      <c r="H52" s="151" t="str">
        <f t="shared" si="2"/>
        <v/>
      </c>
      <c r="I52" s="151"/>
      <c r="J52" s="151"/>
      <c r="K52" s="151"/>
      <c r="L52" s="151"/>
      <c r="M52" s="151" t="str">
        <f t="shared" si="3"/>
        <v/>
      </c>
      <c r="N52" s="151"/>
      <c r="O52" s="546"/>
      <c r="P52" s="237">
        <f t="shared" si="4"/>
        <v>0</v>
      </c>
      <c r="Q52" s="238">
        <f t="shared" si="5"/>
        <v>0</v>
      </c>
    </row>
    <row r="53" spans="1:17" ht="10.9" customHeight="1" x14ac:dyDescent="0.25">
      <c r="A53" s="143" t="s">
        <v>2111</v>
      </c>
      <c r="B53" s="641" t="s">
        <v>459</v>
      </c>
      <c r="C53" s="550" t="s">
        <v>3227</v>
      </c>
      <c r="D53" s="611" t="s">
        <v>48</v>
      </c>
      <c r="E53" s="92"/>
      <c r="F53" s="92"/>
      <c r="G53" s="92"/>
      <c r="H53" s="92" t="str">
        <f t="shared" si="2"/>
        <v/>
      </c>
      <c r="I53" s="92"/>
      <c r="J53" s="92"/>
      <c r="K53" s="92"/>
      <c r="L53" s="92"/>
      <c r="M53" s="92" t="str">
        <f t="shared" si="3"/>
        <v/>
      </c>
      <c r="N53" s="92"/>
      <c r="O53" s="546"/>
      <c r="P53" s="178">
        <f t="shared" si="4"/>
        <v>0</v>
      </c>
      <c r="Q53" s="179">
        <f t="shared" si="5"/>
        <v>0</v>
      </c>
    </row>
    <row r="54" spans="1:17" ht="10.9" customHeight="1" x14ac:dyDescent="0.25">
      <c r="A54" s="143" t="s">
        <v>2112</v>
      </c>
      <c r="B54" s="642" t="s">
        <v>460</v>
      </c>
      <c r="C54" s="552" t="s">
        <v>3228</v>
      </c>
      <c r="D54" s="632" t="s">
        <v>48</v>
      </c>
      <c r="E54" s="152"/>
      <c r="F54" s="152"/>
      <c r="G54" s="473">
        <v>0</v>
      </c>
      <c r="H54" s="148" t="str">
        <f>IF(OR(E54="NA",F54="NA"),"NA",IF(AND(E54="",F54=""),"",SUM(E54:G54)))</f>
        <v/>
      </c>
      <c r="I54" s="152"/>
      <c r="J54" s="152"/>
      <c r="K54" s="152"/>
      <c r="L54" s="473">
        <v>0</v>
      </c>
      <c r="M54" s="148" t="str">
        <f>IF(OR(H54="NA",I54="NA",J54="NA",K54="NA"),"NA",IF(AND(H54="",I54="",J54="",K54=""),"",SUM(H54:L54)))</f>
        <v/>
      </c>
      <c r="N54" s="152"/>
      <c r="O54" s="546"/>
      <c r="P54" s="181">
        <f t="shared" si="4"/>
        <v>0</v>
      </c>
      <c r="Q54" s="182">
        <f t="shared" si="5"/>
        <v>0</v>
      </c>
    </row>
    <row r="55" spans="1:17" ht="10.9" customHeight="1" x14ac:dyDescent="0.25">
      <c r="A55" s="143" t="s">
        <v>2113</v>
      </c>
      <c r="B55" s="641" t="s">
        <v>461</v>
      </c>
      <c r="C55" s="550" t="s">
        <v>3229</v>
      </c>
      <c r="D55" s="611" t="s">
        <v>48</v>
      </c>
      <c r="E55" s="92"/>
      <c r="F55" s="92"/>
      <c r="G55" s="92"/>
      <c r="H55" s="92" t="str">
        <f t="shared" si="2"/>
        <v/>
      </c>
      <c r="I55" s="92"/>
      <c r="J55" s="92"/>
      <c r="K55" s="92"/>
      <c r="L55" s="92"/>
      <c r="M55" s="92" t="str">
        <f t="shared" si="3"/>
        <v/>
      </c>
      <c r="N55" s="92"/>
      <c r="O55" s="546"/>
      <c r="P55" s="178">
        <f t="shared" si="4"/>
        <v>0</v>
      </c>
      <c r="Q55" s="179">
        <f t="shared" si="5"/>
        <v>0</v>
      </c>
    </row>
    <row r="56" spans="1:17" ht="10.9" customHeight="1" x14ac:dyDescent="0.25">
      <c r="A56" s="143" t="s">
        <v>2114</v>
      </c>
      <c r="B56" s="644" t="s">
        <v>702</v>
      </c>
      <c r="C56" s="645" t="s">
        <v>3240</v>
      </c>
      <c r="D56" s="647" t="s">
        <v>48</v>
      </c>
      <c r="E56" s="89"/>
      <c r="F56" s="155"/>
      <c r="G56" s="155"/>
      <c r="H56" s="155" t="str">
        <f t="shared" si="2"/>
        <v/>
      </c>
      <c r="I56" s="155"/>
      <c r="J56" s="155"/>
      <c r="K56" s="155"/>
      <c r="L56" s="155"/>
      <c r="M56" s="155" t="str">
        <f t="shared" si="3"/>
        <v/>
      </c>
      <c r="N56" s="155"/>
      <c r="O56" s="546"/>
      <c r="P56" s="178">
        <f t="shared" si="4"/>
        <v>0</v>
      </c>
      <c r="Q56" s="179">
        <f t="shared" si="5"/>
        <v>0</v>
      </c>
    </row>
    <row r="57" spans="1:17" ht="10.9" customHeight="1" x14ac:dyDescent="0.25">
      <c r="A57" s="143" t="s">
        <v>2115</v>
      </c>
      <c r="B57" s="641" t="s">
        <v>462</v>
      </c>
      <c r="C57" s="550" t="s">
        <v>3241</v>
      </c>
      <c r="D57" s="532" t="s">
        <v>48</v>
      </c>
      <c r="E57" s="89"/>
      <c r="F57" s="92"/>
      <c r="G57" s="92"/>
      <c r="H57" s="92" t="str">
        <f t="shared" si="2"/>
        <v/>
      </c>
      <c r="I57" s="92"/>
      <c r="J57" s="92"/>
      <c r="K57" s="92"/>
      <c r="L57" s="92"/>
      <c r="M57" s="92" t="str">
        <f t="shared" si="3"/>
        <v/>
      </c>
      <c r="N57" s="92"/>
      <c r="O57" s="546"/>
      <c r="P57" s="178">
        <f t="shared" si="4"/>
        <v>0</v>
      </c>
      <c r="Q57" s="179">
        <f t="shared" si="5"/>
        <v>0</v>
      </c>
    </row>
    <row r="58" spans="1:17" ht="10.9" customHeight="1" x14ac:dyDescent="0.25">
      <c r="A58" s="143" t="s">
        <v>2116</v>
      </c>
      <c r="B58" s="644" t="s">
        <v>703</v>
      </c>
      <c r="C58" s="645" t="s">
        <v>3240</v>
      </c>
      <c r="D58" s="646" t="s">
        <v>48</v>
      </c>
      <c r="E58" s="89"/>
      <c r="F58" s="155"/>
      <c r="G58" s="155"/>
      <c r="H58" s="155" t="str">
        <f t="shared" si="2"/>
        <v/>
      </c>
      <c r="I58" s="155"/>
      <c r="J58" s="155"/>
      <c r="K58" s="155"/>
      <c r="L58" s="155"/>
      <c r="M58" s="155" t="str">
        <f t="shared" si="3"/>
        <v/>
      </c>
      <c r="N58" s="155"/>
      <c r="O58" s="546"/>
      <c r="P58" s="178">
        <f t="shared" si="4"/>
        <v>0</v>
      </c>
      <c r="Q58" s="179">
        <f t="shared" si="5"/>
        <v>0</v>
      </c>
    </row>
    <row r="59" spans="1:17" ht="10.9" customHeight="1" x14ac:dyDescent="0.25">
      <c r="A59" s="143" t="s">
        <v>2117</v>
      </c>
      <c r="B59" s="642" t="s">
        <v>463</v>
      </c>
      <c r="C59" s="552" t="s">
        <v>3242</v>
      </c>
      <c r="D59" s="553" t="s">
        <v>48</v>
      </c>
      <c r="E59" s="152"/>
      <c r="F59" s="152"/>
      <c r="G59" s="152"/>
      <c r="H59" s="152" t="str">
        <f t="shared" si="2"/>
        <v/>
      </c>
      <c r="I59" s="152"/>
      <c r="J59" s="152"/>
      <c r="K59" s="152"/>
      <c r="L59" s="152"/>
      <c r="M59" s="152" t="str">
        <f t="shared" si="3"/>
        <v/>
      </c>
      <c r="N59" s="152"/>
      <c r="O59" s="546"/>
      <c r="P59" s="181">
        <f t="shared" si="4"/>
        <v>0</v>
      </c>
      <c r="Q59" s="182">
        <f t="shared" si="5"/>
        <v>0</v>
      </c>
    </row>
    <row r="60" spans="1:17" ht="10.9" customHeight="1" x14ac:dyDescent="0.25">
      <c r="A60" s="143" t="s">
        <v>2421</v>
      </c>
      <c r="B60" s="641" t="s">
        <v>464</v>
      </c>
      <c r="C60" s="550" t="s">
        <v>3232</v>
      </c>
      <c r="D60" s="532" t="s">
        <v>48</v>
      </c>
      <c r="E60" s="92"/>
      <c r="F60" s="92"/>
      <c r="G60" s="92"/>
      <c r="H60" s="92" t="str">
        <f t="shared" si="2"/>
        <v/>
      </c>
      <c r="I60" s="92"/>
      <c r="J60" s="92"/>
      <c r="K60" s="92"/>
      <c r="L60" s="92"/>
      <c r="M60" s="92" t="str">
        <f t="shared" si="3"/>
        <v/>
      </c>
      <c r="N60" s="92"/>
      <c r="O60" s="546"/>
      <c r="P60" s="178">
        <f t="shared" si="4"/>
        <v>0</v>
      </c>
      <c r="Q60" s="179">
        <f t="shared" si="5"/>
        <v>0</v>
      </c>
    </row>
    <row r="61" spans="1:17" ht="10.9" customHeight="1" x14ac:dyDescent="0.25">
      <c r="A61" s="143" t="s">
        <v>2118</v>
      </c>
      <c r="B61" s="642" t="s">
        <v>465</v>
      </c>
      <c r="C61" s="552" t="s">
        <v>3233</v>
      </c>
      <c r="D61" s="553" t="s">
        <v>48</v>
      </c>
      <c r="E61" s="148"/>
      <c r="F61" s="148"/>
      <c r="G61" s="148"/>
      <c r="H61" s="148" t="str">
        <f t="shared" si="2"/>
        <v/>
      </c>
      <c r="I61" s="148"/>
      <c r="J61" s="148"/>
      <c r="K61" s="148"/>
      <c r="L61" s="148"/>
      <c r="M61" s="148" t="str">
        <f t="shared" si="3"/>
        <v/>
      </c>
      <c r="N61" s="148"/>
      <c r="O61" s="546"/>
      <c r="P61" s="181">
        <f t="shared" si="4"/>
        <v>0</v>
      </c>
      <c r="Q61" s="182">
        <f t="shared" si="5"/>
        <v>0</v>
      </c>
    </row>
    <row r="62" spans="1:17" ht="10.9" customHeight="1" x14ac:dyDescent="0.25">
      <c r="A62" s="143" t="s">
        <v>2119</v>
      </c>
      <c r="B62" s="641" t="s">
        <v>466</v>
      </c>
      <c r="C62" s="550" t="s">
        <v>3234</v>
      </c>
      <c r="D62" s="532" t="s">
        <v>48</v>
      </c>
      <c r="E62" s="89"/>
      <c r="F62" s="89"/>
      <c r="G62" s="89"/>
      <c r="H62" s="89" t="str">
        <f t="shared" si="2"/>
        <v/>
      </c>
      <c r="I62" s="89"/>
      <c r="J62" s="89"/>
      <c r="K62" s="89"/>
      <c r="L62" s="89"/>
      <c r="M62" s="89" t="str">
        <f t="shared" si="3"/>
        <v/>
      </c>
      <c r="N62" s="89"/>
      <c r="O62" s="546"/>
      <c r="P62" s="178">
        <f t="shared" si="4"/>
        <v>0</v>
      </c>
      <c r="Q62" s="179">
        <f t="shared" si="5"/>
        <v>0</v>
      </c>
    </row>
    <row r="63" spans="1:17" ht="10.9" customHeight="1" x14ac:dyDescent="0.25">
      <c r="A63" s="143" t="s">
        <v>2120</v>
      </c>
      <c r="B63" s="643" t="s">
        <v>467</v>
      </c>
      <c r="C63" s="563" t="s">
        <v>3235</v>
      </c>
      <c r="D63" s="537" t="s">
        <v>48</v>
      </c>
      <c r="E63" s="146"/>
      <c r="F63" s="146"/>
      <c r="G63" s="146"/>
      <c r="H63" s="146" t="str">
        <f t="shared" si="2"/>
        <v/>
      </c>
      <c r="I63" s="146"/>
      <c r="J63" s="146"/>
      <c r="K63" s="146"/>
      <c r="L63" s="146"/>
      <c r="M63" s="146" t="str">
        <f t="shared" si="3"/>
        <v/>
      </c>
      <c r="N63" s="146"/>
      <c r="O63" s="546"/>
      <c r="P63" s="188">
        <f t="shared" si="4"/>
        <v>0</v>
      </c>
      <c r="Q63" s="189">
        <f t="shared" si="5"/>
        <v>0</v>
      </c>
    </row>
    <row r="64" spans="1:17" ht="15" customHeight="1" x14ac:dyDescent="0.25">
      <c r="A64" s="143" t="s">
        <v>2121</v>
      </c>
      <c r="B64" s="594" t="s">
        <v>468</v>
      </c>
      <c r="C64" s="585" t="s">
        <v>3244</v>
      </c>
      <c r="D64" s="640" t="s">
        <v>48</v>
      </c>
      <c r="E64" s="154"/>
      <c r="F64" s="154"/>
      <c r="G64" s="154"/>
      <c r="H64" s="154" t="str">
        <f t="shared" si="2"/>
        <v/>
      </c>
      <c r="I64" s="154"/>
      <c r="J64" s="154"/>
      <c r="K64" s="154"/>
      <c r="L64" s="154"/>
      <c r="M64" s="154" t="str">
        <f t="shared" si="3"/>
        <v/>
      </c>
      <c r="N64" s="154"/>
      <c r="O64" s="546"/>
      <c r="P64" s="237">
        <f t="shared" si="4"/>
        <v>0</v>
      </c>
      <c r="Q64" s="238">
        <f t="shared" si="5"/>
        <v>0</v>
      </c>
    </row>
    <row r="65" spans="1:17" ht="10.9" customHeight="1" x14ac:dyDescent="0.25">
      <c r="A65" s="143" t="s">
        <v>2122</v>
      </c>
      <c r="B65" s="641" t="s">
        <v>469</v>
      </c>
      <c r="C65" s="550" t="s">
        <v>3227</v>
      </c>
      <c r="D65" s="532" t="s">
        <v>48</v>
      </c>
      <c r="E65" s="89"/>
      <c r="F65" s="89"/>
      <c r="G65" s="89"/>
      <c r="H65" s="89" t="str">
        <f t="shared" si="2"/>
        <v/>
      </c>
      <c r="I65" s="89"/>
      <c r="J65" s="89"/>
      <c r="K65" s="89"/>
      <c r="L65" s="89"/>
      <c r="M65" s="89" t="str">
        <f t="shared" si="3"/>
        <v/>
      </c>
      <c r="N65" s="89"/>
      <c r="O65" s="546"/>
      <c r="P65" s="178">
        <f t="shared" si="4"/>
        <v>0</v>
      </c>
      <c r="Q65" s="179">
        <f t="shared" si="5"/>
        <v>0</v>
      </c>
    </row>
    <row r="66" spans="1:17" ht="10.9" customHeight="1" x14ac:dyDescent="0.25">
      <c r="A66" s="143" t="s">
        <v>2123</v>
      </c>
      <c r="B66" s="642" t="s">
        <v>470</v>
      </c>
      <c r="C66" s="552" t="s">
        <v>3228</v>
      </c>
      <c r="D66" s="553" t="s">
        <v>48</v>
      </c>
      <c r="E66" s="148"/>
      <c r="F66" s="148"/>
      <c r="G66" s="473">
        <v>0</v>
      </c>
      <c r="H66" s="148" t="str">
        <f>IF(OR(E66="NA",F66="NA"),"NA",IF(AND(E66="",F66=""),"",SUM(E66:G66)))</f>
        <v/>
      </c>
      <c r="I66" s="148"/>
      <c r="J66" s="148"/>
      <c r="K66" s="148"/>
      <c r="L66" s="473">
        <v>0</v>
      </c>
      <c r="M66" s="148" t="str">
        <f>IF(OR(H66="NA",I66="NA",J66="NA",K66="NA"),"NA",IF(AND(H66="",I66="",J66="",K66=""),"",SUM(H66:L66)))</f>
        <v/>
      </c>
      <c r="N66" s="148"/>
      <c r="O66" s="546"/>
      <c r="P66" s="181">
        <f t="shared" si="4"/>
        <v>0</v>
      </c>
      <c r="Q66" s="182">
        <f t="shared" si="5"/>
        <v>0</v>
      </c>
    </row>
    <row r="67" spans="1:17" ht="10.9" customHeight="1" x14ac:dyDescent="0.25">
      <c r="A67" s="143" t="s">
        <v>2124</v>
      </c>
      <c r="B67" s="641" t="s">
        <v>471</v>
      </c>
      <c r="C67" s="550" t="s">
        <v>3229</v>
      </c>
      <c r="D67" s="532" t="s">
        <v>48</v>
      </c>
      <c r="E67" s="89"/>
      <c r="F67" s="89"/>
      <c r="G67" s="89"/>
      <c r="H67" s="89" t="str">
        <f t="shared" si="2"/>
        <v/>
      </c>
      <c r="I67" s="89"/>
      <c r="J67" s="89"/>
      <c r="K67" s="89"/>
      <c r="L67" s="89"/>
      <c r="M67" s="89" t="str">
        <f t="shared" si="3"/>
        <v/>
      </c>
      <c r="N67" s="89"/>
      <c r="O67" s="546"/>
      <c r="P67" s="178">
        <f t="shared" si="4"/>
        <v>0</v>
      </c>
      <c r="Q67" s="179">
        <f t="shared" si="5"/>
        <v>0</v>
      </c>
    </row>
    <row r="68" spans="1:17" ht="10.9" customHeight="1" x14ac:dyDescent="0.25">
      <c r="A68" s="143" t="s">
        <v>2125</v>
      </c>
      <c r="B68" s="641" t="s">
        <v>472</v>
      </c>
      <c r="C68" s="550" t="s">
        <v>3230</v>
      </c>
      <c r="D68" s="532" t="s">
        <v>48</v>
      </c>
      <c r="E68" s="89"/>
      <c r="F68" s="89"/>
      <c r="G68" s="89"/>
      <c r="H68" s="89" t="str">
        <f t="shared" si="2"/>
        <v/>
      </c>
      <c r="I68" s="89"/>
      <c r="J68" s="89"/>
      <c r="K68" s="89"/>
      <c r="L68" s="89"/>
      <c r="M68" s="89" t="str">
        <f t="shared" si="3"/>
        <v/>
      </c>
      <c r="N68" s="89"/>
      <c r="O68" s="546"/>
      <c r="P68" s="178">
        <f t="shared" si="4"/>
        <v>0</v>
      </c>
      <c r="Q68" s="179">
        <f t="shared" si="5"/>
        <v>0</v>
      </c>
    </row>
    <row r="69" spans="1:17" ht="10.9" customHeight="1" x14ac:dyDescent="0.25">
      <c r="A69" s="143" t="s">
        <v>2126</v>
      </c>
      <c r="B69" s="642" t="s">
        <v>473</v>
      </c>
      <c r="C69" s="552" t="s">
        <v>3231</v>
      </c>
      <c r="D69" s="553" t="s">
        <v>48</v>
      </c>
      <c r="E69" s="148"/>
      <c r="F69" s="148"/>
      <c r="G69" s="148"/>
      <c r="H69" s="148" t="str">
        <f t="shared" si="2"/>
        <v/>
      </c>
      <c r="I69" s="148"/>
      <c r="J69" s="148"/>
      <c r="K69" s="148"/>
      <c r="L69" s="148"/>
      <c r="M69" s="148" t="str">
        <f t="shared" si="3"/>
        <v/>
      </c>
      <c r="N69" s="148"/>
      <c r="O69" s="546"/>
      <c r="P69" s="181">
        <f t="shared" si="4"/>
        <v>0</v>
      </c>
      <c r="Q69" s="182">
        <f t="shared" si="5"/>
        <v>0</v>
      </c>
    </row>
    <row r="70" spans="1:17" ht="10.9" customHeight="1" x14ac:dyDescent="0.25">
      <c r="A70" s="143" t="s">
        <v>2422</v>
      </c>
      <c r="B70" s="641" t="s">
        <v>474</v>
      </c>
      <c r="C70" s="550" t="s">
        <v>3237</v>
      </c>
      <c r="D70" s="532" t="s">
        <v>48</v>
      </c>
      <c r="E70" s="89"/>
      <c r="F70" s="89"/>
      <c r="G70" s="89"/>
      <c r="H70" s="89" t="str">
        <f t="shared" si="2"/>
        <v/>
      </c>
      <c r="I70" s="89"/>
      <c r="J70" s="89"/>
      <c r="K70" s="89"/>
      <c r="L70" s="89"/>
      <c r="M70" s="89" t="str">
        <f t="shared" si="3"/>
        <v/>
      </c>
      <c r="N70" s="89"/>
      <c r="O70" s="546"/>
      <c r="P70" s="178">
        <f t="shared" si="4"/>
        <v>0</v>
      </c>
      <c r="Q70" s="179">
        <f t="shared" si="5"/>
        <v>0</v>
      </c>
    </row>
    <row r="71" spans="1:17" ht="10.9" customHeight="1" x14ac:dyDescent="0.25">
      <c r="A71" s="143" t="s">
        <v>2127</v>
      </c>
      <c r="B71" s="642" t="s">
        <v>475</v>
      </c>
      <c r="C71" s="552" t="s">
        <v>3238</v>
      </c>
      <c r="D71" s="553" t="s">
        <v>48</v>
      </c>
      <c r="E71" s="148"/>
      <c r="F71" s="148"/>
      <c r="G71" s="148"/>
      <c r="H71" s="148" t="str">
        <f t="shared" si="2"/>
        <v/>
      </c>
      <c r="I71" s="148"/>
      <c r="J71" s="148"/>
      <c r="K71" s="148"/>
      <c r="L71" s="148"/>
      <c r="M71" s="148" t="str">
        <f t="shared" si="3"/>
        <v/>
      </c>
      <c r="N71" s="148"/>
      <c r="O71" s="546"/>
      <c r="P71" s="181">
        <f t="shared" si="4"/>
        <v>0</v>
      </c>
      <c r="Q71" s="182">
        <f t="shared" si="5"/>
        <v>0</v>
      </c>
    </row>
    <row r="72" spans="1:17" ht="10.9" customHeight="1" x14ac:dyDescent="0.25">
      <c r="A72" s="143" t="s">
        <v>2128</v>
      </c>
      <c r="B72" s="641" t="s">
        <v>476</v>
      </c>
      <c r="C72" s="550" t="s">
        <v>3234</v>
      </c>
      <c r="D72" s="532" t="s">
        <v>48</v>
      </c>
      <c r="E72" s="89"/>
      <c r="F72" s="89"/>
      <c r="G72" s="89"/>
      <c r="H72" s="89" t="str">
        <f t="shared" si="2"/>
        <v/>
      </c>
      <c r="I72" s="89"/>
      <c r="J72" s="89"/>
      <c r="K72" s="89"/>
      <c r="L72" s="89"/>
      <c r="M72" s="89" t="str">
        <f t="shared" si="3"/>
        <v/>
      </c>
      <c r="N72" s="89"/>
      <c r="O72" s="546"/>
      <c r="P72" s="178">
        <f t="shared" ref="P72:P83" si="6">IF(OR(H72="NA",E72="NA",F72="NA",G72="NA"),"NA",SUM(H72)-SUM(E72:G72))</f>
        <v>0</v>
      </c>
      <c r="Q72" s="179">
        <f t="shared" ref="Q72:Q83" si="7">IF(OR(M72="NA",H72="NA",I72="NA",J72="NA",K72="NA",L72="NA"),"NA",SUM(M72)-SUM(H72:L72))</f>
        <v>0</v>
      </c>
    </row>
    <row r="73" spans="1:17" ht="10.9" customHeight="1" x14ac:dyDescent="0.25">
      <c r="A73" s="143" t="s">
        <v>2129</v>
      </c>
      <c r="B73" s="643" t="s">
        <v>477</v>
      </c>
      <c r="C73" s="563" t="s">
        <v>3235</v>
      </c>
      <c r="D73" s="537" t="s">
        <v>48</v>
      </c>
      <c r="E73" s="146"/>
      <c r="F73" s="146"/>
      <c r="G73" s="146"/>
      <c r="H73" s="146" t="str">
        <f t="shared" si="2"/>
        <v/>
      </c>
      <c r="I73" s="146"/>
      <c r="J73" s="146"/>
      <c r="K73" s="146"/>
      <c r="L73" s="146"/>
      <c r="M73" s="146" t="str">
        <f t="shared" si="3"/>
        <v/>
      </c>
      <c r="N73" s="146"/>
      <c r="O73" s="546"/>
      <c r="P73" s="188">
        <f t="shared" si="6"/>
        <v>0</v>
      </c>
      <c r="Q73" s="189">
        <f t="shared" si="7"/>
        <v>0</v>
      </c>
    </row>
    <row r="74" spans="1:17" ht="15" customHeight="1" x14ac:dyDescent="0.25">
      <c r="A74" s="143" t="s">
        <v>2130</v>
      </c>
      <c r="B74" s="594" t="s">
        <v>478</v>
      </c>
      <c r="C74" s="585" t="s">
        <v>3063</v>
      </c>
      <c r="D74" s="640" t="s">
        <v>48</v>
      </c>
      <c r="E74" s="154"/>
      <c r="F74" s="154"/>
      <c r="G74" s="154"/>
      <c r="H74" s="154" t="str">
        <f t="shared" si="2"/>
        <v/>
      </c>
      <c r="I74" s="154"/>
      <c r="J74" s="154"/>
      <c r="K74" s="154"/>
      <c r="L74" s="154"/>
      <c r="M74" s="154" t="str">
        <f t="shared" si="3"/>
        <v/>
      </c>
      <c r="N74" s="154"/>
      <c r="O74" s="546"/>
      <c r="P74" s="237">
        <f t="shared" si="6"/>
        <v>0</v>
      </c>
      <c r="Q74" s="238">
        <f t="shared" si="7"/>
        <v>0</v>
      </c>
    </row>
    <row r="75" spans="1:17" ht="10.9" customHeight="1" x14ac:dyDescent="0.25">
      <c r="A75" s="143" t="s">
        <v>2131</v>
      </c>
      <c r="B75" s="641" t="s">
        <v>479</v>
      </c>
      <c r="C75" s="550" t="s">
        <v>3227</v>
      </c>
      <c r="D75" s="532" t="s">
        <v>48</v>
      </c>
      <c r="E75" s="89"/>
      <c r="F75" s="89"/>
      <c r="G75" s="89"/>
      <c r="H75" s="89" t="str">
        <f t="shared" si="2"/>
        <v/>
      </c>
      <c r="I75" s="89"/>
      <c r="J75" s="89"/>
      <c r="K75" s="89"/>
      <c r="L75" s="89"/>
      <c r="M75" s="89" t="str">
        <f t="shared" si="3"/>
        <v/>
      </c>
      <c r="N75" s="89"/>
      <c r="O75" s="546"/>
      <c r="P75" s="178">
        <f t="shared" si="6"/>
        <v>0</v>
      </c>
      <c r="Q75" s="179">
        <f t="shared" si="7"/>
        <v>0</v>
      </c>
    </row>
    <row r="76" spans="1:17" ht="10.9" customHeight="1" x14ac:dyDescent="0.25">
      <c r="A76" s="143" t="s">
        <v>2132</v>
      </c>
      <c r="B76" s="642" t="s">
        <v>480</v>
      </c>
      <c r="C76" s="552" t="s">
        <v>3228</v>
      </c>
      <c r="D76" s="553" t="s">
        <v>48</v>
      </c>
      <c r="E76" s="148"/>
      <c r="F76" s="148"/>
      <c r="G76" s="473">
        <v>0</v>
      </c>
      <c r="H76" s="148" t="str">
        <f>IF(OR(E76="NA",F76="NA"),"NA",IF(AND(E76="",F76=""),"",SUM(E76:G76)))</f>
        <v/>
      </c>
      <c r="I76" s="148"/>
      <c r="J76" s="148"/>
      <c r="K76" s="148"/>
      <c r="L76" s="473">
        <v>0</v>
      </c>
      <c r="M76" s="148" t="str">
        <f>IF(OR(H76="NA",I76="NA",J76="NA",K76="NA"),"NA",IF(AND(H76="",I76="",J76="",K76=""),"",SUM(H76:L76)))</f>
        <v/>
      </c>
      <c r="N76" s="148"/>
      <c r="O76" s="546"/>
      <c r="P76" s="181">
        <f t="shared" si="6"/>
        <v>0</v>
      </c>
      <c r="Q76" s="182">
        <f t="shared" si="7"/>
        <v>0</v>
      </c>
    </row>
    <row r="77" spans="1:17" ht="10.9" customHeight="1" x14ac:dyDescent="0.25">
      <c r="A77" s="143" t="s">
        <v>2133</v>
      </c>
      <c r="B77" s="641" t="s">
        <v>481</v>
      </c>
      <c r="C77" s="550" t="s">
        <v>3229</v>
      </c>
      <c r="D77" s="532" t="s">
        <v>48</v>
      </c>
      <c r="E77" s="89"/>
      <c r="F77" s="89"/>
      <c r="G77" s="89"/>
      <c r="H77" s="89" t="str">
        <f t="shared" si="2"/>
        <v/>
      </c>
      <c r="I77" s="89"/>
      <c r="J77" s="89"/>
      <c r="K77" s="89"/>
      <c r="L77" s="89"/>
      <c r="M77" s="89" t="str">
        <f t="shared" si="3"/>
        <v/>
      </c>
      <c r="N77" s="89"/>
      <c r="O77" s="546"/>
      <c r="P77" s="178">
        <f t="shared" si="6"/>
        <v>0</v>
      </c>
      <c r="Q77" s="179">
        <f t="shared" si="7"/>
        <v>0</v>
      </c>
    </row>
    <row r="78" spans="1:17" ht="10.9" customHeight="1" x14ac:dyDescent="0.25">
      <c r="A78" s="143" t="s">
        <v>2134</v>
      </c>
      <c r="B78" s="641" t="s">
        <v>482</v>
      </c>
      <c r="C78" s="550" t="s">
        <v>3230</v>
      </c>
      <c r="D78" s="532" t="s">
        <v>48</v>
      </c>
      <c r="E78" s="89"/>
      <c r="F78" s="89"/>
      <c r="G78" s="89"/>
      <c r="H78" s="89" t="str">
        <f t="shared" si="2"/>
        <v/>
      </c>
      <c r="I78" s="89"/>
      <c r="J78" s="89"/>
      <c r="K78" s="89"/>
      <c r="L78" s="89"/>
      <c r="M78" s="89" t="str">
        <f t="shared" si="3"/>
        <v/>
      </c>
      <c r="N78" s="89"/>
      <c r="O78" s="546"/>
      <c r="P78" s="178">
        <f t="shared" si="6"/>
        <v>0</v>
      </c>
      <c r="Q78" s="179">
        <f t="shared" si="7"/>
        <v>0</v>
      </c>
    </row>
    <row r="79" spans="1:17" ht="10.9" customHeight="1" x14ac:dyDescent="0.25">
      <c r="A79" s="143" t="s">
        <v>2135</v>
      </c>
      <c r="B79" s="642" t="s">
        <v>483</v>
      </c>
      <c r="C79" s="552" t="s">
        <v>3231</v>
      </c>
      <c r="D79" s="553" t="s">
        <v>48</v>
      </c>
      <c r="E79" s="148"/>
      <c r="F79" s="148"/>
      <c r="G79" s="148"/>
      <c r="H79" s="148" t="str">
        <f t="shared" si="2"/>
        <v/>
      </c>
      <c r="I79" s="148"/>
      <c r="J79" s="148"/>
      <c r="K79" s="148"/>
      <c r="L79" s="148"/>
      <c r="M79" s="148" t="str">
        <f t="shared" si="3"/>
        <v/>
      </c>
      <c r="N79" s="148"/>
      <c r="O79" s="546"/>
      <c r="P79" s="181">
        <f t="shared" si="6"/>
        <v>0</v>
      </c>
      <c r="Q79" s="182">
        <f t="shared" si="7"/>
        <v>0</v>
      </c>
    </row>
    <row r="80" spans="1:17" ht="10.9" customHeight="1" x14ac:dyDescent="0.25">
      <c r="A80" s="143" t="s">
        <v>2423</v>
      </c>
      <c r="B80" s="641" t="s">
        <v>484</v>
      </c>
      <c r="C80" s="550" t="s">
        <v>3237</v>
      </c>
      <c r="D80" s="532" t="s">
        <v>48</v>
      </c>
      <c r="E80" s="89"/>
      <c r="F80" s="89"/>
      <c r="G80" s="89"/>
      <c r="H80" s="89" t="str">
        <f t="shared" si="2"/>
        <v/>
      </c>
      <c r="I80" s="89"/>
      <c r="J80" s="89"/>
      <c r="K80" s="89"/>
      <c r="L80" s="89"/>
      <c r="M80" s="89" t="str">
        <f t="shared" si="3"/>
        <v/>
      </c>
      <c r="N80" s="89"/>
      <c r="O80" s="546"/>
      <c r="P80" s="178">
        <f t="shared" si="6"/>
        <v>0</v>
      </c>
      <c r="Q80" s="179">
        <f t="shared" si="7"/>
        <v>0</v>
      </c>
    </row>
    <row r="81" spans="1:17" ht="10.9" customHeight="1" x14ac:dyDescent="0.25">
      <c r="A81" s="143" t="s">
        <v>2136</v>
      </c>
      <c r="B81" s="642" t="s">
        <v>485</v>
      </c>
      <c r="C81" s="552" t="s">
        <v>3238</v>
      </c>
      <c r="D81" s="553" t="s">
        <v>48</v>
      </c>
      <c r="E81" s="148"/>
      <c r="F81" s="148"/>
      <c r="G81" s="148"/>
      <c r="H81" s="148" t="str">
        <f t="shared" si="2"/>
        <v/>
      </c>
      <c r="I81" s="148"/>
      <c r="J81" s="148"/>
      <c r="K81" s="148"/>
      <c r="L81" s="148"/>
      <c r="M81" s="148" t="str">
        <f t="shared" si="3"/>
        <v/>
      </c>
      <c r="N81" s="148"/>
      <c r="O81" s="546"/>
      <c r="P81" s="181">
        <f t="shared" si="6"/>
        <v>0</v>
      </c>
      <c r="Q81" s="182">
        <f t="shared" si="7"/>
        <v>0</v>
      </c>
    </row>
    <row r="82" spans="1:17" ht="10.9" customHeight="1" x14ac:dyDescent="0.25">
      <c r="A82" s="143" t="s">
        <v>2137</v>
      </c>
      <c r="B82" s="641" t="s">
        <v>486</v>
      </c>
      <c r="C82" s="550" t="s">
        <v>3234</v>
      </c>
      <c r="D82" s="532" t="s">
        <v>48</v>
      </c>
      <c r="E82" s="89"/>
      <c r="F82" s="89"/>
      <c r="G82" s="89"/>
      <c r="H82" s="89" t="str">
        <f t="shared" ref="H82:H83" si="8">IF(OR(E82="NA",F82="NA",G82="NA"),"NA",IF(AND(E82="",F82="",G82=""),"",SUM(E82:G82)))</f>
        <v/>
      </c>
      <c r="I82" s="89"/>
      <c r="J82" s="89"/>
      <c r="K82" s="89"/>
      <c r="L82" s="89"/>
      <c r="M82" s="89" t="str">
        <f t="shared" ref="M82:M83" si="9">IF(OR(H82="NA",I82="NA",J82="NA",K82="NA",L82="NA"),"NA",IF(AND(H82="",I82="",J82="",K82="",L82=""),"",SUM(H82:L82)))</f>
        <v/>
      </c>
      <c r="N82" s="89"/>
      <c r="O82" s="546"/>
      <c r="P82" s="178">
        <f t="shared" si="6"/>
        <v>0</v>
      </c>
      <c r="Q82" s="179">
        <f t="shared" si="7"/>
        <v>0</v>
      </c>
    </row>
    <row r="83" spans="1:17" ht="10.9" customHeight="1" x14ac:dyDescent="0.25">
      <c r="A83" s="143" t="s">
        <v>2138</v>
      </c>
      <c r="B83" s="643" t="s">
        <v>487</v>
      </c>
      <c r="C83" s="563" t="s">
        <v>3235</v>
      </c>
      <c r="D83" s="537" t="s">
        <v>48</v>
      </c>
      <c r="E83" s="146"/>
      <c r="F83" s="146"/>
      <c r="G83" s="146"/>
      <c r="H83" s="146" t="str">
        <f t="shared" si="8"/>
        <v/>
      </c>
      <c r="I83" s="146"/>
      <c r="J83" s="146"/>
      <c r="K83" s="146"/>
      <c r="L83" s="146"/>
      <c r="M83" s="146" t="str">
        <f t="shared" si="9"/>
        <v/>
      </c>
      <c r="N83" s="146"/>
      <c r="O83" s="546"/>
      <c r="P83" s="188">
        <f t="shared" si="6"/>
        <v>0</v>
      </c>
      <c r="Q83" s="189">
        <f t="shared" si="7"/>
        <v>0</v>
      </c>
    </row>
    <row r="84" spans="1:17" ht="14.25" x14ac:dyDescent="0.25">
      <c r="B84" s="580"/>
      <c r="C84" s="531"/>
      <c r="D84" s="531" t="s">
        <v>48</v>
      </c>
      <c r="E84" s="546"/>
      <c r="F84" s="546"/>
      <c r="G84" s="546"/>
      <c r="H84" s="546"/>
      <c r="I84" s="546"/>
      <c r="J84" s="546"/>
      <c r="K84" s="546"/>
      <c r="L84" s="546"/>
      <c r="M84" s="546"/>
      <c r="N84" s="546"/>
      <c r="O84" s="616"/>
      <c r="P84" s="258"/>
      <c r="Q84" s="258"/>
    </row>
    <row r="85" spans="1:17" s="279" customFormat="1" ht="15" customHeight="1" x14ac:dyDescent="0.2">
      <c r="B85" s="272" t="s">
        <v>3245</v>
      </c>
      <c r="C85" s="195"/>
      <c r="D85" s="284"/>
      <c r="E85" s="285"/>
      <c r="F85" s="285"/>
      <c r="G85" s="285"/>
      <c r="H85" s="285"/>
      <c r="I85" s="285"/>
      <c r="J85" s="285"/>
      <c r="K85" s="239"/>
      <c r="L85" s="239"/>
      <c r="M85" s="239"/>
      <c r="N85" s="240"/>
      <c r="O85" s="288"/>
      <c r="P85" s="280"/>
      <c r="Q85" s="280"/>
    </row>
    <row r="86" spans="1:17" ht="10.35" customHeight="1" x14ac:dyDescent="0.2">
      <c r="B86" s="273" t="s">
        <v>2776</v>
      </c>
      <c r="C86" s="207"/>
      <c r="D86" s="207" t="s">
        <v>48</v>
      </c>
      <c r="E86" s="243"/>
      <c r="F86" s="243"/>
      <c r="G86" s="243"/>
      <c r="H86" s="243"/>
      <c r="I86" s="243"/>
      <c r="J86" s="243"/>
      <c r="K86" s="242"/>
      <c r="L86" s="242"/>
      <c r="M86" s="242"/>
      <c r="N86" s="242"/>
      <c r="O86" s="202"/>
      <c r="P86" s="258"/>
      <c r="Q86" s="258"/>
    </row>
    <row r="87" spans="1:17" ht="10.35" customHeight="1" x14ac:dyDescent="0.2">
      <c r="B87" s="273"/>
      <c r="C87" s="136" t="s">
        <v>846</v>
      </c>
      <c r="D87" s="207" t="s">
        <v>48</v>
      </c>
      <c r="E87" s="243">
        <f t="shared" ref="E87:N87" si="10">IF(OR(E8="NA",E9="NA",E10="NA"),"NA",-SUM(E8)+SUM(E9)+SUM(E10))</f>
        <v>0</v>
      </c>
      <c r="F87" s="243">
        <f t="shared" si="10"/>
        <v>0</v>
      </c>
      <c r="G87" s="243">
        <f t="shared" si="10"/>
        <v>0</v>
      </c>
      <c r="H87" s="243">
        <f t="shared" si="10"/>
        <v>0</v>
      </c>
      <c r="I87" s="243">
        <f t="shared" si="10"/>
        <v>0</v>
      </c>
      <c r="J87" s="243">
        <f t="shared" si="10"/>
        <v>0</v>
      </c>
      <c r="K87" s="243">
        <f t="shared" si="10"/>
        <v>0</v>
      </c>
      <c r="L87" s="243">
        <f t="shared" si="10"/>
        <v>0</v>
      </c>
      <c r="M87" s="243">
        <f t="shared" si="10"/>
        <v>0</v>
      </c>
      <c r="N87" s="243">
        <f t="shared" si="10"/>
        <v>0</v>
      </c>
      <c r="O87" s="202"/>
      <c r="P87" s="258"/>
      <c r="Q87" s="258"/>
    </row>
    <row r="88" spans="1:17" ht="10.35" customHeight="1" x14ac:dyDescent="0.2">
      <c r="B88" s="274"/>
      <c r="C88" s="136" t="s">
        <v>847</v>
      </c>
      <c r="D88" s="136" t="s">
        <v>48</v>
      </c>
      <c r="E88" s="243">
        <f t="shared" ref="E88:N88" si="11">IF(OR(E8="NA",E11="NA",E12="NA",E13="NA"),"NA",-SUM(E8)+SUM(E11)+SUM(E12)+SUM(E13))</f>
        <v>0</v>
      </c>
      <c r="F88" s="243">
        <f t="shared" si="11"/>
        <v>0</v>
      </c>
      <c r="G88" s="243">
        <f t="shared" si="11"/>
        <v>0</v>
      </c>
      <c r="H88" s="243">
        <f t="shared" si="11"/>
        <v>0</v>
      </c>
      <c r="I88" s="243">
        <f t="shared" si="11"/>
        <v>0</v>
      </c>
      <c r="J88" s="243">
        <f t="shared" si="11"/>
        <v>0</v>
      </c>
      <c r="K88" s="243">
        <f t="shared" si="11"/>
        <v>0</v>
      </c>
      <c r="L88" s="243">
        <f t="shared" si="11"/>
        <v>0</v>
      </c>
      <c r="M88" s="243">
        <f t="shared" si="11"/>
        <v>0</v>
      </c>
      <c r="N88" s="243">
        <f t="shared" si="11"/>
        <v>0</v>
      </c>
      <c r="O88" s="202"/>
      <c r="P88" s="258"/>
      <c r="Q88" s="258"/>
    </row>
    <row r="89" spans="1:17" ht="10.35" customHeight="1" x14ac:dyDescent="0.2">
      <c r="B89" s="274"/>
      <c r="C89" s="136" t="s">
        <v>848</v>
      </c>
      <c r="D89" s="136" t="s">
        <v>48</v>
      </c>
      <c r="E89" s="243">
        <f t="shared" ref="E89:N89" si="12">IF(OR(E8="NA",E14="NA",E15="NA"),"NA",-SUM(E8)+SUM(E14)+SUM(E15))</f>
        <v>0</v>
      </c>
      <c r="F89" s="243">
        <f t="shared" si="12"/>
        <v>0</v>
      </c>
      <c r="G89" s="243">
        <f t="shared" si="12"/>
        <v>0</v>
      </c>
      <c r="H89" s="243">
        <f t="shared" si="12"/>
        <v>0</v>
      </c>
      <c r="I89" s="243">
        <f t="shared" si="12"/>
        <v>0</v>
      </c>
      <c r="J89" s="243">
        <f t="shared" si="12"/>
        <v>0</v>
      </c>
      <c r="K89" s="243">
        <f t="shared" si="12"/>
        <v>0</v>
      </c>
      <c r="L89" s="243">
        <f t="shared" si="12"/>
        <v>0</v>
      </c>
      <c r="M89" s="243">
        <f t="shared" si="12"/>
        <v>0</v>
      </c>
      <c r="N89" s="243">
        <f t="shared" si="12"/>
        <v>0</v>
      </c>
      <c r="O89" s="202"/>
      <c r="P89" s="258"/>
      <c r="Q89" s="258"/>
    </row>
    <row r="90" spans="1:17" ht="10.35" customHeight="1" x14ac:dyDescent="0.2">
      <c r="B90" s="274"/>
      <c r="C90" s="208" t="s">
        <v>849</v>
      </c>
      <c r="D90" s="208" t="s">
        <v>48</v>
      </c>
      <c r="E90" s="244">
        <f t="shared" ref="E90:N90" si="13">IF(OR(E8="NA",E16="NA",E17="NA"),"NA",-SUM(E8)+SUM(E16)+SUM(E17))</f>
        <v>0</v>
      </c>
      <c r="F90" s="244">
        <f t="shared" si="13"/>
        <v>0</v>
      </c>
      <c r="G90" s="244">
        <f t="shared" si="13"/>
        <v>0</v>
      </c>
      <c r="H90" s="244">
        <f t="shared" si="13"/>
        <v>0</v>
      </c>
      <c r="I90" s="244">
        <f t="shared" si="13"/>
        <v>0</v>
      </c>
      <c r="J90" s="244">
        <f t="shared" si="13"/>
        <v>0</v>
      </c>
      <c r="K90" s="244">
        <f t="shared" si="13"/>
        <v>0</v>
      </c>
      <c r="L90" s="244">
        <f t="shared" si="13"/>
        <v>0</v>
      </c>
      <c r="M90" s="244">
        <f t="shared" si="13"/>
        <v>0</v>
      </c>
      <c r="N90" s="244">
        <f t="shared" si="13"/>
        <v>0</v>
      </c>
      <c r="O90" s="202"/>
      <c r="P90" s="258"/>
      <c r="Q90" s="258"/>
    </row>
    <row r="91" spans="1:17" ht="10.35" customHeight="1" x14ac:dyDescent="0.2">
      <c r="B91" s="210"/>
      <c r="C91" s="136" t="s">
        <v>850</v>
      </c>
      <c r="D91" s="136" t="s">
        <v>48</v>
      </c>
      <c r="E91" s="243">
        <f t="shared" ref="E91:N91" si="14">IF(OR(E18="NA",E19="NA",E20="NA"),"NA",-SUM(E18)+SUM(E19)+SUM(E20))</f>
        <v>0</v>
      </c>
      <c r="F91" s="243">
        <f t="shared" si="14"/>
        <v>0</v>
      </c>
      <c r="G91" s="243">
        <f t="shared" si="14"/>
        <v>0</v>
      </c>
      <c r="H91" s="243">
        <f t="shared" si="14"/>
        <v>0</v>
      </c>
      <c r="I91" s="243">
        <f t="shared" si="14"/>
        <v>0</v>
      </c>
      <c r="J91" s="243">
        <f t="shared" si="14"/>
        <v>0</v>
      </c>
      <c r="K91" s="243">
        <f t="shared" si="14"/>
        <v>0</v>
      </c>
      <c r="L91" s="243">
        <f t="shared" si="14"/>
        <v>0</v>
      </c>
      <c r="M91" s="243">
        <f t="shared" si="14"/>
        <v>0</v>
      </c>
      <c r="N91" s="243">
        <f t="shared" si="14"/>
        <v>0</v>
      </c>
      <c r="O91" s="202"/>
      <c r="P91" s="258"/>
      <c r="Q91" s="258"/>
    </row>
    <row r="92" spans="1:17" ht="10.35" customHeight="1" x14ac:dyDescent="0.2">
      <c r="B92" s="210"/>
      <c r="C92" s="136" t="s">
        <v>851</v>
      </c>
      <c r="D92" s="136" t="s">
        <v>48</v>
      </c>
      <c r="E92" s="243">
        <f t="shared" ref="E92:N92" si="15">IF(OR(E18="NA",E21="NA",E22="NA",E23="NA"),"NA",-SUM(E18)+SUM(E21)+SUM(E22)+SUM(E23))</f>
        <v>0</v>
      </c>
      <c r="F92" s="243">
        <f t="shared" si="15"/>
        <v>0</v>
      </c>
      <c r="G92" s="243">
        <f t="shared" si="15"/>
        <v>0</v>
      </c>
      <c r="H92" s="243">
        <f t="shared" si="15"/>
        <v>0</v>
      </c>
      <c r="I92" s="243">
        <f t="shared" si="15"/>
        <v>0</v>
      </c>
      <c r="J92" s="243">
        <f t="shared" si="15"/>
        <v>0</v>
      </c>
      <c r="K92" s="243">
        <f t="shared" si="15"/>
        <v>0</v>
      </c>
      <c r="L92" s="243">
        <f t="shared" si="15"/>
        <v>0</v>
      </c>
      <c r="M92" s="243">
        <f t="shared" si="15"/>
        <v>0</v>
      </c>
      <c r="N92" s="243">
        <f t="shared" si="15"/>
        <v>0</v>
      </c>
      <c r="O92" s="202"/>
      <c r="P92" s="258"/>
      <c r="Q92" s="258"/>
    </row>
    <row r="93" spans="1:17" ht="10.35" customHeight="1" x14ac:dyDescent="0.2">
      <c r="B93" s="210"/>
      <c r="C93" s="136" t="s">
        <v>852</v>
      </c>
      <c r="D93" s="136" t="s">
        <v>48</v>
      </c>
      <c r="E93" s="243">
        <f t="shared" ref="E93:N93" si="16">IF(OR(E18="NA",E24="NA",E25="NA"),"NA",-SUM(E18)+SUM(E24)+SUM(E25))</f>
        <v>0</v>
      </c>
      <c r="F93" s="243">
        <f t="shared" si="16"/>
        <v>0</v>
      </c>
      <c r="G93" s="243">
        <f t="shared" si="16"/>
        <v>0</v>
      </c>
      <c r="H93" s="243">
        <f t="shared" si="16"/>
        <v>0</v>
      </c>
      <c r="I93" s="243">
        <f t="shared" si="16"/>
        <v>0</v>
      </c>
      <c r="J93" s="243">
        <f t="shared" si="16"/>
        <v>0</v>
      </c>
      <c r="K93" s="243">
        <f t="shared" si="16"/>
        <v>0</v>
      </c>
      <c r="L93" s="243">
        <f t="shared" si="16"/>
        <v>0</v>
      </c>
      <c r="M93" s="243">
        <f t="shared" si="16"/>
        <v>0</v>
      </c>
      <c r="N93" s="243">
        <f t="shared" si="16"/>
        <v>0</v>
      </c>
      <c r="O93" s="202"/>
      <c r="P93" s="258"/>
      <c r="Q93" s="258"/>
    </row>
    <row r="94" spans="1:17" ht="10.35" customHeight="1" x14ac:dyDescent="0.2">
      <c r="B94" s="210"/>
      <c r="C94" s="208" t="s">
        <v>853</v>
      </c>
      <c r="D94" s="208" t="s">
        <v>48</v>
      </c>
      <c r="E94" s="244">
        <f t="shared" ref="E94:N94" si="17">IF(OR(E18="NA",E26="NA",E27="NA"),"NA",-SUM(E18)+SUM(E26)+SUM(E27))</f>
        <v>0</v>
      </c>
      <c r="F94" s="244">
        <f t="shared" si="17"/>
        <v>0</v>
      </c>
      <c r="G94" s="244">
        <f t="shared" si="17"/>
        <v>0</v>
      </c>
      <c r="H94" s="244">
        <f t="shared" si="17"/>
        <v>0</v>
      </c>
      <c r="I94" s="244">
        <f t="shared" si="17"/>
        <v>0</v>
      </c>
      <c r="J94" s="244">
        <f t="shared" si="17"/>
        <v>0</v>
      </c>
      <c r="K94" s="244">
        <f t="shared" si="17"/>
        <v>0</v>
      </c>
      <c r="L94" s="244">
        <f t="shared" si="17"/>
        <v>0</v>
      </c>
      <c r="M94" s="244">
        <f t="shared" si="17"/>
        <v>0</v>
      </c>
      <c r="N94" s="244">
        <f t="shared" si="17"/>
        <v>0</v>
      </c>
      <c r="O94" s="202"/>
      <c r="P94" s="258"/>
      <c r="Q94" s="258"/>
    </row>
    <row r="95" spans="1:17" ht="10.35" customHeight="1" x14ac:dyDescent="0.2">
      <c r="B95" s="210"/>
      <c r="C95" s="136" t="s">
        <v>854</v>
      </c>
      <c r="D95" s="136" t="s">
        <v>48</v>
      </c>
      <c r="E95" s="243">
        <f t="shared" ref="E95:N95" si="18">IF(OR(E28="NA",E29="NA",E30="NA"),"NA",-SUM(E28)+SUM(E29)+SUM(E30))</f>
        <v>0</v>
      </c>
      <c r="F95" s="243">
        <f t="shared" si="18"/>
        <v>0</v>
      </c>
      <c r="G95" s="243">
        <f t="shared" si="18"/>
        <v>0</v>
      </c>
      <c r="H95" s="243">
        <f t="shared" si="18"/>
        <v>0</v>
      </c>
      <c r="I95" s="243">
        <f t="shared" si="18"/>
        <v>0</v>
      </c>
      <c r="J95" s="243">
        <f t="shared" si="18"/>
        <v>0</v>
      </c>
      <c r="K95" s="243">
        <f t="shared" si="18"/>
        <v>0</v>
      </c>
      <c r="L95" s="243">
        <f t="shared" si="18"/>
        <v>0</v>
      </c>
      <c r="M95" s="243">
        <f t="shared" si="18"/>
        <v>0</v>
      </c>
      <c r="N95" s="243">
        <f t="shared" si="18"/>
        <v>0</v>
      </c>
      <c r="O95" s="202"/>
      <c r="P95" s="258"/>
      <c r="Q95" s="258"/>
    </row>
    <row r="96" spans="1:17" ht="10.35" customHeight="1" x14ac:dyDescent="0.2">
      <c r="B96" s="210"/>
      <c r="C96" s="136" t="s">
        <v>855</v>
      </c>
      <c r="D96" s="136" t="s">
        <v>48</v>
      </c>
      <c r="E96" s="243">
        <f t="shared" ref="E96:N96" si="19">IF(OR(E28="NA",E31="NA",E33="NA",E35="NA"),"NA",-SUM(E28)+SUM(E31)+SUM(E33)+SUM(E35))</f>
        <v>0</v>
      </c>
      <c r="F96" s="243">
        <f t="shared" si="19"/>
        <v>0</v>
      </c>
      <c r="G96" s="243">
        <f t="shared" si="19"/>
        <v>0</v>
      </c>
      <c r="H96" s="243">
        <f t="shared" si="19"/>
        <v>0</v>
      </c>
      <c r="I96" s="243">
        <f t="shared" si="19"/>
        <v>0</v>
      </c>
      <c r="J96" s="243">
        <f t="shared" si="19"/>
        <v>0</v>
      </c>
      <c r="K96" s="243">
        <f t="shared" si="19"/>
        <v>0</v>
      </c>
      <c r="L96" s="243">
        <f t="shared" si="19"/>
        <v>0</v>
      </c>
      <c r="M96" s="243">
        <f t="shared" si="19"/>
        <v>0</v>
      </c>
      <c r="N96" s="243">
        <f t="shared" si="19"/>
        <v>0</v>
      </c>
      <c r="O96" s="202"/>
      <c r="P96" s="258"/>
      <c r="Q96" s="258"/>
    </row>
    <row r="97" spans="2:17" ht="10.35" customHeight="1" x14ac:dyDescent="0.2">
      <c r="B97" s="210"/>
      <c r="C97" s="136" t="s">
        <v>856</v>
      </c>
      <c r="D97" s="136" t="s">
        <v>48</v>
      </c>
      <c r="E97" s="243">
        <f t="shared" ref="E97:N97" si="20">IF(OR(E28="NA",E36="NA",E37="NA"),"NA",-SUM(E28)+SUM(E36)+SUM(E37))</f>
        <v>0</v>
      </c>
      <c r="F97" s="243">
        <f t="shared" si="20"/>
        <v>0</v>
      </c>
      <c r="G97" s="243">
        <f t="shared" si="20"/>
        <v>0</v>
      </c>
      <c r="H97" s="243">
        <f t="shared" si="20"/>
        <v>0</v>
      </c>
      <c r="I97" s="243">
        <f t="shared" si="20"/>
        <v>0</v>
      </c>
      <c r="J97" s="243">
        <f t="shared" si="20"/>
        <v>0</v>
      </c>
      <c r="K97" s="243">
        <f t="shared" si="20"/>
        <v>0</v>
      </c>
      <c r="L97" s="243">
        <f t="shared" si="20"/>
        <v>0</v>
      </c>
      <c r="M97" s="243">
        <f t="shared" si="20"/>
        <v>0</v>
      </c>
      <c r="N97" s="243">
        <f t="shared" si="20"/>
        <v>0</v>
      </c>
      <c r="O97" s="202"/>
      <c r="P97" s="258"/>
      <c r="Q97" s="258"/>
    </row>
    <row r="98" spans="2:17" ht="10.35" customHeight="1" x14ac:dyDescent="0.2">
      <c r="B98" s="210"/>
      <c r="C98" s="208" t="s">
        <v>857</v>
      </c>
      <c r="D98" s="208" t="s">
        <v>48</v>
      </c>
      <c r="E98" s="244">
        <f t="shared" ref="E98:N98" si="21">IF(OR(E28="NA",E38="NA",E39="NA"),"NA",-SUM(E28)+SUM(E38)+SUM(E39))</f>
        <v>0</v>
      </c>
      <c r="F98" s="244">
        <f t="shared" si="21"/>
        <v>0</v>
      </c>
      <c r="G98" s="244">
        <f t="shared" si="21"/>
        <v>0</v>
      </c>
      <c r="H98" s="244">
        <f t="shared" si="21"/>
        <v>0</v>
      </c>
      <c r="I98" s="244">
        <f t="shared" si="21"/>
        <v>0</v>
      </c>
      <c r="J98" s="244">
        <f t="shared" si="21"/>
        <v>0</v>
      </c>
      <c r="K98" s="244">
        <f t="shared" si="21"/>
        <v>0</v>
      </c>
      <c r="L98" s="244">
        <f t="shared" si="21"/>
        <v>0</v>
      </c>
      <c r="M98" s="244">
        <f t="shared" si="21"/>
        <v>0</v>
      </c>
      <c r="N98" s="244">
        <f t="shared" si="21"/>
        <v>0</v>
      </c>
      <c r="O98" s="202"/>
      <c r="P98" s="258"/>
      <c r="Q98" s="258"/>
    </row>
    <row r="99" spans="2:17" ht="10.35" customHeight="1" x14ac:dyDescent="0.2">
      <c r="B99" s="210"/>
      <c r="C99" s="136" t="s">
        <v>870</v>
      </c>
      <c r="D99" s="136"/>
      <c r="E99" s="243">
        <f t="shared" ref="E99:N99" si="22">IF(OR(E40="NA",E41="NA",E42="NA"),"NA",-SUM(E40)+SUM(E41)+SUM(E42))</f>
        <v>0</v>
      </c>
      <c r="F99" s="243">
        <f t="shared" si="22"/>
        <v>0</v>
      </c>
      <c r="G99" s="243">
        <f t="shared" si="22"/>
        <v>0</v>
      </c>
      <c r="H99" s="243">
        <f t="shared" si="22"/>
        <v>0</v>
      </c>
      <c r="I99" s="243">
        <f t="shared" si="22"/>
        <v>0</v>
      </c>
      <c r="J99" s="243">
        <f t="shared" si="22"/>
        <v>0</v>
      </c>
      <c r="K99" s="243">
        <f t="shared" si="22"/>
        <v>0</v>
      </c>
      <c r="L99" s="243">
        <f t="shared" si="22"/>
        <v>0</v>
      </c>
      <c r="M99" s="243">
        <f t="shared" si="22"/>
        <v>0</v>
      </c>
      <c r="N99" s="243">
        <f t="shared" si="22"/>
        <v>0</v>
      </c>
      <c r="O99" s="202"/>
      <c r="P99" s="258"/>
      <c r="Q99" s="258"/>
    </row>
    <row r="100" spans="2:17" ht="10.35" customHeight="1" x14ac:dyDescent="0.2">
      <c r="B100" s="210"/>
      <c r="C100" s="136" t="s">
        <v>871</v>
      </c>
      <c r="D100" s="136"/>
      <c r="E100" s="243">
        <f t="shared" ref="E100:N100" si="23">IF(OR(E40="NA",E43="NA",E45="NA",E47="NA"),"NA",-SUM(E40)+SUM(E43)+SUM(E45)+SUM(E47))</f>
        <v>0</v>
      </c>
      <c r="F100" s="243">
        <f t="shared" si="23"/>
        <v>0</v>
      </c>
      <c r="G100" s="243">
        <f t="shared" si="23"/>
        <v>0</v>
      </c>
      <c r="H100" s="243">
        <f t="shared" si="23"/>
        <v>0</v>
      </c>
      <c r="I100" s="243">
        <f t="shared" si="23"/>
        <v>0</v>
      </c>
      <c r="J100" s="243">
        <f t="shared" si="23"/>
        <v>0</v>
      </c>
      <c r="K100" s="243">
        <f t="shared" si="23"/>
        <v>0</v>
      </c>
      <c r="L100" s="243">
        <f t="shared" si="23"/>
        <v>0</v>
      </c>
      <c r="M100" s="243">
        <f t="shared" si="23"/>
        <v>0</v>
      </c>
      <c r="N100" s="243">
        <f t="shared" si="23"/>
        <v>0</v>
      </c>
      <c r="O100" s="202"/>
      <c r="P100" s="258"/>
      <c r="Q100" s="258"/>
    </row>
    <row r="101" spans="2:17" ht="10.35" customHeight="1" x14ac:dyDescent="0.2">
      <c r="B101" s="210"/>
      <c r="C101" s="136" t="s">
        <v>872</v>
      </c>
      <c r="D101" s="136"/>
      <c r="E101" s="243">
        <f t="shared" ref="E101:N101" si="24">IF(OR(E40="NA",E48="NA",E49="NA"),"NA",-SUM(E40)+SUM(E48)+SUM(E49))</f>
        <v>0</v>
      </c>
      <c r="F101" s="243">
        <f t="shared" si="24"/>
        <v>0</v>
      </c>
      <c r="G101" s="243">
        <f t="shared" si="24"/>
        <v>0</v>
      </c>
      <c r="H101" s="243">
        <f t="shared" si="24"/>
        <v>0</v>
      </c>
      <c r="I101" s="243">
        <f t="shared" si="24"/>
        <v>0</v>
      </c>
      <c r="J101" s="243">
        <f t="shared" si="24"/>
        <v>0</v>
      </c>
      <c r="K101" s="243">
        <f t="shared" si="24"/>
        <v>0</v>
      </c>
      <c r="L101" s="243">
        <f t="shared" si="24"/>
        <v>0</v>
      </c>
      <c r="M101" s="243">
        <f t="shared" si="24"/>
        <v>0</v>
      </c>
      <c r="N101" s="243">
        <f t="shared" si="24"/>
        <v>0</v>
      </c>
      <c r="O101" s="202"/>
      <c r="P101" s="258"/>
      <c r="Q101" s="258"/>
    </row>
    <row r="102" spans="2:17" ht="10.35" customHeight="1" x14ac:dyDescent="0.2">
      <c r="B102" s="210"/>
      <c r="C102" s="208" t="s">
        <v>873</v>
      </c>
      <c r="D102" s="136"/>
      <c r="E102" s="243">
        <f t="shared" ref="E102:N102" si="25">IF(OR(E40="NA",E50="NA",E51="NA"),"NA",-SUM(E40)+SUM(E50)+SUM(E51))</f>
        <v>0</v>
      </c>
      <c r="F102" s="243">
        <f t="shared" si="25"/>
        <v>0</v>
      </c>
      <c r="G102" s="243">
        <f t="shared" si="25"/>
        <v>0</v>
      </c>
      <c r="H102" s="243">
        <f t="shared" si="25"/>
        <v>0</v>
      </c>
      <c r="I102" s="243">
        <f t="shared" si="25"/>
        <v>0</v>
      </c>
      <c r="J102" s="243">
        <f t="shared" si="25"/>
        <v>0</v>
      </c>
      <c r="K102" s="243">
        <f t="shared" si="25"/>
        <v>0</v>
      </c>
      <c r="L102" s="243">
        <f t="shared" si="25"/>
        <v>0</v>
      </c>
      <c r="M102" s="243">
        <f t="shared" si="25"/>
        <v>0</v>
      </c>
      <c r="N102" s="243">
        <f t="shared" si="25"/>
        <v>0</v>
      </c>
      <c r="O102" s="202"/>
      <c r="P102" s="258"/>
      <c r="Q102" s="258"/>
    </row>
    <row r="103" spans="2:17" ht="10.35" customHeight="1" x14ac:dyDescent="0.2">
      <c r="B103" s="210"/>
      <c r="C103" s="136" t="s">
        <v>858</v>
      </c>
      <c r="D103" s="136" t="s">
        <v>48</v>
      </c>
      <c r="E103" s="243">
        <f t="shared" ref="E103:N103" si="26">IF(OR(E52="NA",E53="NA",E54="NA"),"NA",-SUM(E52)+SUM(E53)+SUM(E54))</f>
        <v>0</v>
      </c>
      <c r="F103" s="243">
        <f t="shared" si="26"/>
        <v>0</v>
      </c>
      <c r="G103" s="243">
        <f t="shared" si="26"/>
        <v>0</v>
      </c>
      <c r="H103" s="243">
        <f t="shared" si="26"/>
        <v>0</v>
      </c>
      <c r="I103" s="243">
        <f t="shared" si="26"/>
        <v>0</v>
      </c>
      <c r="J103" s="243">
        <f t="shared" si="26"/>
        <v>0</v>
      </c>
      <c r="K103" s="243">
        <f t="shared" si="26"/>
        <v>0</v>
      </c>
      <c r="L103" s="243">
        <f t="shared" si="26"/>
        <v>0</v>
      </c>
      <c r="M103" s="243">
        <f t="shared" si="26"/>
        <v>0</v>
      </c>
      <c r="N103" s="243">
        <f t="shared" si="26"/>
        <v>0</v>
      </c>
      <c r="O103" s="202"/>
      <c r="P103" s="258"/>
      <c r="Q103" s="258"/>
    </row>
    <row r="104" spans="2:17" ht="10.35" customHeight="1" x14ac:dyDescent="0.2">
      <c r="B104" s="274"/>
      <c r="C104" s="136" t="s">
        <v>859</v>
      </c>
      <c r="D104" s="136" t="s">
        <v>48</v>
      </c>
      <c r="E104" s="243">
        <f t="shared" ref="E104:N104" si="27">IF(OR(E52="NA",E55="NA",E57="NA",E59="NA"),"NA",-SUM(E52)+SUM(E55)+SUM(E57)+SUM(E59))</f>
        <v>0</v>
      </c>
      <c r="F104" s="243">
        <f t="shared" si="27"/>
        <v>0</v>
      </c>
      <c r="G104" s="243">
        <f t="shared" si="27"/>
        <v>0</v>
      </c>
      <c r="H104" s="243">
        <f t="shared" si="27"/>
        <v>0</v>
      </c>
      <c r="I104" s="243">
        <f t="shared" si="27"/>
        <v>0</v>
      </c>
      <c r="J104" s="243">
        <f t="shared" si="27"/>
        <v>0</v>
      </c>
      <c r="K104" s="243">
        <f t="shared" si="27"/>
        <v>0</v>
      </c>
      <c r="L104" s="243">
        <f t="shared" si="27"/>
        <v>0</v>
      </c>
      <c r="M104" s="243">
        <f t="shared" si="27"/>
        <v>0</v>
      </c>
      <c r="N104" s="243">
        <f t="shared" si="27"/>
        <v>0</v>
      </c>
      <c r="O104" s="202"/>
      <c r="P104" s="258"/>
      <c r="Q104" s="258"/>
    </row>
    <row r="105" spans="2:17" ht="10.35" customHeight="1" x14ac:dyDescent="0.2">
      <c r="B105" s="274"/>
      <c r="C105" s="136" t="s">
        <v>860</v>
      </c>
      <c r="D105" s="136" t="s">
        <v>48</v>
      </c>
      <c r="E105" s="243">
        <f t="shared" ref="E105:N105" si="28">IF(OR(E52="NA",E60="NA",E61="NA"),"NA",-SUM(E52)+SUM(E60)+SUM(E61))</f>
        <v>0</v>
      </c>
      <c r="F105" s="243">
        <f t="shared" si="28"/>
        <v>0</v>
      </c>
      <c r="G105" s="243">
        <f t="shared" si="28"/>
        <v>0</v>
      </c>
      <c r="H105" s="243">
        <f t="shared" si="28"/>
        <v>0</v>
      </c>
      <c r="I105" s="243">
        <f t="shared" si="28"/>
        <v>0</v>
      </c>
      <c r="J105" s="243">
        <f t="shared" si="28"/>
        <v>0</v>
      </c>
      <c r="K105" s="243">
        <f t="shared" si="28"/>
        <v>0</v>
      </c>
      <c r="L105" s="243">
        <f t="shared" si="28"/>
        <v>0</v>
      </c>
      <c r="M105" s="243">
        <f t="shared" si="28"/>
        <v>0</v>
      </c>
      <c r="N105" s="243">
        <f t="shared" si="28"/>
        <v>0</v>
      </c>
      <c r="O105" s="202"/>
      <c r="P105" s="258"/>
      <c r="Q105" s="258"/>
    </row>
    <row r="106" spans="2:17" ht="10.35" customHeight="1" x14ac:dyDescent="0.2">
      <c r="B106" s="210"/>
      <c r="C106" s="208" t="s">
        <v>861</v>
      </c>
      <c r="D106" s="208" t="s">
        <v>48</v>
      </c>
      <c r="E106" s="244">
        <f t="shared" ref="E106:N106" si="29">IF(OR(E52="NA",E62="NA",E63="NA"),"NA",-SUM(E52)+SUM(E62)+SUM(E63))</f>
        <v>0</v>
      </c>
      <c r="F106" s="244">
        <f t="shared" si="29"/>
        <v>0</v>
      </c>
      <c r="G106" s="244">
        <f t="shared" si="29"/>
        <v>0</v>
      </c>
      <c r="H106" s="244">
        <f t="shared" si="29"/>
        <v>0</v>
      </c>
      <c r="I106" s="244">
        <f t="shared" si="29"/>
        <v>0</v>
      </c>
      <c r="J106" s="244">
        <f t="shared" si="29"/>
        <v>0</v>
      </c>
      <c r="K106" s="244">
        <f t="shared" si="29"/>
        <v>0</v>
      </c>
      <c r="L106" s="244">
        <f t="shared" si="29"/>
        <v>0</v>
      </c>
      <c r="M106" s="244">
        <f t="shared" si="29"/>
        <v>0</v>
      </c>
      <c r="N106" s="244">
        <f t="shared" si="29"/>
        <v>0</v>
      </c>
      <c r="O106" s="202"/>
      <c r="P106" s="258"/>
      <c r="Q106" s="258"/>
    </row>
    <row r="107" spans="2:17" ht="10.35" customHeight="1" x14ac:dyDescent="0.2">
      <c r="B107" s="210"/>
      <c r="C107" s="136" t="s">
        <v>862</v>
      </c>
      <c r="D107" s="207" t="s">
        <v>48</v>
      </c>
      <c r="E107" s="243">
        <f t="shared" ref="E107:N107" si="30">IF(OR(E64="NA",E65="NA",E66="NA"),"NA",-SUM(E64)+SUM(E65)+SUM(E66))</f>
        <v>0</v>
      </c>
      <c r="F107" s="243">
        <f t="shared" si="30"/>
        <v>0</v>
      </c>
      <c r="G107" s="243">
        <f t="shared" si="30"/>
        <v>0</v>
      </c>
      <c r="H107" s="243">
        <f t="shared" si="30"/>
        <v>0</v>
      </c>
      <c r="I107" s="243">
        <f t="shared" si="30"/>
        <v>0</v>
      </c>
      <c r="J107" s="243">
        <f t="shared" si="30"/>
        <v>0</v>
      </c>
      <c r="K107" s="243">
        <f t="shared" si="30"/>
        <v>0</v>
      </c>
      <c r="L107" s="243">
        <f t="shared" si="30"/>
        <v>0</v>
      </c>
      <c r="M107" s="243">
        <f t="shared" si="30"/>
        <v>0</v>
      </c>
      <c r="N107" s="243">
        <f t="shared" si="30"/>
        <v>0</v>
      </c>
      <c r="O107" s="202"/>
      <c r="P107" s="258"/>
      <c r="Q107" s="258"/>
    </row>
    <row r="108" spans="2:17" ht="10.35" customHeight="1" x14ac:dyDescent="0.2">
      <c r="B108" s="210"/>
      <c r="C108" s="136" t="s">
        <v>863</v>
      </c>
      <c r="D108" s="207" t="s">
        <v>48</v>
      </c>
      <c r="E108" s="243">
        <f t="shared" ref="E108:N108" si="31">IF(OR(E64="NA",E67="NA",E68="NA",E69="NA"),"NA",-SUM(E64)+SUM(E67)+SUM(E68)+SUM(E69))</f>
        <v>0</v>
      </c>
      <c r="F108" s="243">
        <f t="shared" si="31"/>
        <v>0</v>
      </c>
      <c r="G108" s="243">
        <f t="shared" si="31"/>
        <v>0</v>
      </c>
      <c r="H108" s="243">
        <f t="shared" si="31"/>
        <v>0</v>
      </c>
      <c r="I108" s="243">
        <f t="shared" si="31"/>
        <v>0</v>
      </c>
      <c r="J108" s="243">
        <f t="shared" si="31"/>
        <v>0</v>
      </c>
      <c r="K108" s="243">
        <f t="shared" si="31"/>
        <v>0</v>
      </c>
      <c r="L108" s="243">
        <f t="shared" si="31"/>
        <v>0</v>
      </c>
      <c r="M108" s="243">
        <f t="shared" si="31"/>
        <v>0</v>
      </c>
      <c r="N108" s="243">
        <f t="shared" si="31"/>
        <v>0</v>
      </c>
      <c r="O108" s="202"/>
      <c r="P108" s="258"/>
      <c r="Q108" s="258"/>
    </row>
    <row r="109" spans="2:17" ht="10.35" customHeight="1" x14ac:dyDescent="0.2">
      <c r="B109" s="210"/>
      <c r="C109" s="136" t="s">
        <v>864</v>
      </c>
      <c r="D109" s="207" t="s">
        <v>48</v>
      </c>
      <c r="E109" s="243">
        <f t="shared" ref="E109:N109" si="32">IF(OR(E64="NA",E70="NA",E71="NA"),"NA",-SUM(E64)+SUM(E70)+SUM(E71))</f>
        <v>0</v>
      </c>
      <c r="F109" s="243">
        <f t="shared" si="32"/>
        <v>0</v>
      </c>
      <c r="G109" s="243">
        <f t="shared" si="32"/>
        <v>0</v>
      </c>
      <c r="H109" s="243">
        <f t="shared" si="32"/>
        <v>0</v>
      </c>
      <c r="I109" s="243">
        <f t="shared" si="32"/>
        <v>0</v>
      </c>
      <c r="J109" s="243">
        <f t="shared" si="32"/>
        <v>0</v>
      </c>
      <c r="K109" s="243">
        <f t="shared" si="32"/>
        <v>0</v>
      </c>
      <c r="L109" s="243">
        <f t="shared" si="32"/>
        <v>0</v>
      </c>
      <c r="M109" s="243">
        <f t="shared" si="32"/>
        <v>0</v>
      </c>
      <c r="N109" s="243">
        <f t="shared" si="32"/>
        <v>0</v>
      </c>
      <c r="O109" s="202"/>
      <c r="P109" s="258"/>
      <c r="Q109" s="258"/>
    </row>
    <row r="110" spans="2:17" ht="10.35" customHeight="1" x14ac:dyDescent="0.2">
      <c r="B110" s="210"/>
      <c r="C110" s="208" t="s">
        <v>865</v>
      </c>
      <c r="D110" s="208" t="s">
        <v>48</v>
      </c>
      <c r="E110" s="244">
        <f t="shared" ref="E110:N110" si="33">IF(OR(E64="NA",E72="NA",E73="NA"),"NA",-SUM(E64)+SUM(E72)+SUM(E73))</f>
        <v>0</v>
      </c>
      <c r="F110" s="244">
        <f t="shared" si="33"/>
        <v>0</v>
      </c>
      <c r="G110" s="244">
        <f t="shared" si="33"/>
        <v>0</v>
      </c>
      <c r="H110" s="244">
        <f t="shared" si="33"/>
        <v>0</v>
      </c>
      <c r="I110" s="244">
        <f t="shared" si="33"/>
        <v>0</v>
      </c>
      <c r="J110" s="244">
        <f t="shared" si="33"/>
        <v>0</v>
      </c>
      <c r="K110" s="244">
        <f t="shared" si="33"/>
        <v>0</v>
      </c>
      <c r="L110" s="244">
        <f t="shared" si="33"/>
        <v>0</v>
      </c>
      <c r="M110" s="244">
        <f t="shared" si="33"/>
        <v>0</v>
      </c>
      <c r="N110" s="244">
        <f t="shared" si="33"/>
        <v>0</v>
      </c>
      <c r="O110" s="202"/>
      <c r="P110" s="258"/>
      <c r="Q110" s="258"/>
    </row>
    <row r="111" spans="2:17" ht="10.35" customHeight="1" x14ac:dyDescent="0.2">
      <c r="B111" s="210"/>
      <c r="C111" s="136" t="s">
        <v>866</v>
      </c>
      <c r="D111" s="207" t="s">
        <v>48</v>
      </c>
      <c r="E111" s="243">
        <f t="shared" ref="E111:N111" si="34">IF(OR(E74="NA",E75="NA",E76="NA"),"NA",-SUM(E74)+SUM(E75)+SUM(E76))</f>
        <v>0</v>
      </c>
      <c r="F111" s="243">
        <f t="shared" si="34"/>
        <v>0</v>
      </c>
      <c r="G111" s="243">
        <f t="shared" si="34"/>
        <v>0</v>
      </c>
      <c r="H111" s="243">
        <f t="shared" si="34"/>
        <v>0</v>
      </c>
      <c r="I111" s="243">
        <f t="shared" si="34"/>
        <v>0</v>
      </c>
      <c r="J111" s="243">
        <f t="shared" si="34"/>
        <v>0</v>
      </c>
      <c r="K111" s="243">
        <f t="shared" si="34"/>
        <v>0</v>
      </c>
      <c r="L111" s="243">
        <f t="shared" si="34"/>
        <v>0</v>
      </c>
      <c r="M111" s="243">
        <f t="shared" si="34"/>
        <v>0</v>
      </c>
      <c r="N111" s="243">
        <f t="shared" si="34"/>
        <v>0</v>
      </c>
      <c r="O111" s="202"/>
      <c r="P111" s="258"/>
      <c r="Q111" s="258"/>
    </row>
    <row r="112" spans="2:17" ht="10.35" customHeight="1" x14ac:dyDescent="0.2">
      <c r="B112" s="210"/>
      <c r="C112" s="136" t="s">
        <v>867</v>
      </c>
      <c r="D112" s="207" t="s">
        <v>48</v>
      </c>
      <c r="E112" s="243">
        <f t="shared" ref="E112:N112" si="35">IF(OR(E74="NA",E77="NA",E78="NA",E79="NA"),"NA",-SUM(E74)+SUM(E77)+SUM(E78)+SUM(E79))</f>
        <v>0</v>
      </c>
      <c r="F112" s="243">
        <f t="shared" si="35"/>
        <v>0</v>
      </c>
      <c r="G112" s="243">
        <f t="shared" si="35"/>
        <v>0</v>
      </c>
      <c r="H112" s="243">
        <f t="shared" si="35"/>
        <v>0</v>
      </c>
      <c r="I112" s="243">
        <f t="shared" si="35"/>
        <v>0</v>
      </c>
      <c r="J112" s="243">
        <f t="shared" si="35"/>
        <v>0</v>
      </c>
      <c r="K112" s="243">
        <f t="shared" si="35"/>
        <v>0</v>
      </c>
      <c r="L112" s="243">
        <f t="shared" si="35"/>
        <v>0</v>
      </c>
      <c r="M112" s="243">
        <f t="shared" si="35"/>
        <v>0</v>
      </c>
      <c r="N112" s="243">
        <f t="shared" si="35"/>
        <v>0</v>
      </c>
      <c r="O112" s="202"/>
      <c r="P112" s="258"/>
      <c r="Q112" s="258"/>
    </row>
    <row r="113" spans="2:17" ht="10.35" customHeight="1" x14ac:dyDescent="0.2">
      <c r="B113" s="210"/>
      <c r="C113" s="136" t="s">
        <v>868</v>
      </c>
      <c r="D113" s="207" t="s">
        <v>48</v>
      </c>
      <c r="E113" s="243">
        <f t="shared" ref="E113:N113" si="36">IF(OR(E74="NA",E80="NA",E81="NA"),"NA",-SUM(E74)+SUM(E80)+SUM(E81))</f>
        <v>0</v>
      </c>
      <c r="F113" s="243">
        <f t="shared" si="36"/>
        <v>0</v>
      </c>
      <c r="G113" s="243">
        <f t="shared" si="36"/>
        <v>0</v>
      </c>
      <c r="H113" s="243">
        <f t="shared" si="36"/>
        <v>0</v>
      </c>
      <c r="I113" s="243">
        <f t="shared" si="36"/>
        <v>0</v>
      </c>
      <c r="J113" s="243">
        <f t="shared" si="36"/>
        <v>0</v>
      </c>
      <c r="K113" s="243">
        <f t="shared" si="36"/>
        <v>0</v>
      </c>
      <c r="L113" s="243">
        <f t="shared" si="36"/>
        <v>0</v>
      </c>
      <c r="M113" s="243">
        <f t="shared" si="36"/>
        <v>0</v>
      </c>
      <c r="N113" s="243">
        <f t="shared" si="36"/>
        <v>0</v>
      </c>
      <c r="O113" s="202"/>
      <c r="P113" s="258"/>
      <c r="Q113" s="258"/>
    </row>
    <row r="114" spans="2:17" ht="10.35" customHeight="1" x14ac:dyDescent="0.2">
      <c r="B114" s="211"/>
      <c r="C114" s="208" t="s">
        <v>869</v>
      </c>
      <c r="D114" s="208" t="s">
        <v>48</v>
      </c>
      <c r="E114" s="244">
        <f t="shared" ref="E114:N114" si="37">IF(OR(E74="NA",E82="NA",E83="NA"),"NA",-SUM(E74)+SUM(E82)+SUM(E83))</f>
        <v>0</v>
      </c>
      <c r="F114" s="244">
        <f t="shared" si="37"/>
        <v>0</v>
      </c>
      <c r="G114" s="244">
        <f t="shared" si="37"/>
        <v>0</v>
      </c>
      <c r="H114" s="244">
        <f t="shared" si="37"/>
        <v>0</v>
      </c>
      <c r="I114" s="244">
        <f t="shared" si="37"/>
        <v>0</v>
      </c>
      <c r="J114" s="244">
        <f t="shared" si="37"/>
        <v>0</v>
      </c>
      <c r="K114" s="244">
        <f t="shared" si="37"/>
        <v>0</v>
      </c>
      <c r="L114" s="244">
        <f t="shared" si="37"/>
        <v>0</v>
      </c>
      <c r="M114" s="244">
        <f t="shared" si="37"/>
        <v>0</v>
      </c>
      <c r="N114" s="244">
        <f t="shared" si="37"/>
        <v>0</v>
      </c>
      <c r="O114" s="202"/>
      <c r="P114" s="258"/>
      <c r="Q114" s="258"/>
    </row>
    <row r="115" spans="2:17" s="103" customFormat="1" ht="10.9" customHeight="1" x14ac:dyDescent="0.15">
      <c r="B115" s="697" t="s">
        <v>2777</v>
      </c>
      <c r="C115" s="714"/>
      <c r="E115" s="212"/>
      <c r="F115" s="212"/>
      <c r="G115" s="212"/>
      <c r="H115" s="212"/>
      <c r="I115" s="212"/>
      <c r="J115" s="212"/>
      <c r="K115" s="212"/>
      <c r="L115" s="212"/>
      <c r="M115" s="212"/>
      <c r="N115" s="212"/>
      <c r="O115" s="191"/>
      <c r="P115" s="191"/>
      <c r="Q115" s="191"/>
    </row>
    <row r="116" spans="2:17" s="103" customFormat="1" ht="10.9" customHeight="1" x14ac:dyDescent="0.15">
      <c r="B116" s="697"/>
      <c r="C116" s="698" t="s">
        <v>2840</v>
      </c>
      <c r="E116" s="212"/>
      <c r="F116" s="212"/>
      <c r="G116" s="212"/>
      <c r="H116" s="212"/>
      <c r="I116" s="212"/>
      <c r="J116" s="212"/>
      <c r="K116" s="212"/>
      <c r="L116" s="212"/>
      <c r="M116" s="212"/>
      <c r="N116" s="212"/>
      <c r="O116" s="191"/>
      <c r="P116" s="191"/>
      <c r="Q116" s="191"/>
    </row>
    <row r="117" spans="2:17" s="103" customFormat="1" ht="10.9" customHeight="1" x14ac:dyDescent="0.15">
      <c r="B117" s="190"/>
      <c r="C117" s="214" t="s">
        <v>3431</v>
      </c>
      <c r="E117" s="215"/>
      <c r="F117" s="215"/>
      <c r="G117" s="203" t="str">
        <f>IF(OR(G10="NA"),"NA",IF(ROUND(SUM(G10),1)=0,"si","verificar!"))</f>
        <v>si</v>
      </c>
      <c r="H117" s="741"/>
      <c r="I117" s="741"/>
      <c r="J117" s="741"/>
      <c r="K117" s="741"/>
      <c r="L117" s="203" t="str">
        <f>IF(OR(L10="NA"),"NA",IF(ROUND(SUM(L10),1)=0,"si","verificar!"))</f>
        <v>si</v>
      </c>
      <c r="M117" s="215"/>
      <c r="N117" s="215"/>
      <c r="O117" s="191"/>
      <c r="P117" s="191"/>
      <c r="Q117" s="191"/>
    </row>
    <row r="118" spans="2:17" s="103" customFormat="1" ht="10.9" customHeight="1" x14ac:dyDescent="0.15">
      <c r="B118" s="190"/>
      <c r="C118" s="214" t="s">
        <v>3432</v>
      </c>
      <c r="E118" s="215"/>
      <c r="F118" s="215"/>
      <c r="G118" s="203" t="str">
        <f>IF(OR(G20="NA"),"NA",IF(ROUND(G20,1)=0,"si","verificar!"))</f>
        <v>si</v>
      </c>
      <c r="H118" s="741"/>
      <c r="I118" s="741"/>
      <c r="J118" s="741"/>
      <c r="K118" s="741"/>
      <c r="L118" s="203" t="str">
        <f>IF(OR(L20="NA"),"NA",IF(ROUND(L20,1)=0,"si","verificar!"))</f>
        <v>si</v>
      </c>
      <c r="M118" s="215"/>
      <c r="N118" s="215"/>
      <c r="O118" s="191"/>
      <c r="P118" s="191"/>
      <c r="Q118" s="191"/>
    </row>
    <row r="119" spans="2:17" s="103" customFormat="1" ht="10.9" customHeight="1" x14ac:dyDescent="0.15">
      <c r="B119" s="190"/>
      <c r="C119" s="214" t="s">
        <v>3433</v>
      </c>
      <c r="E119" s="215"/>
      <c r="F119" s="215"/>
      <c r="G119" s="203" t="str">
        <f>IF(OR(G30="NA"),"NA",IF(ROUND(G30,1)=0,"si","verificar!"))</f>
        <v>si</v>
      </c>
      <c r="H119" s="741"/>
      <c r="I119" s="741"/>
      <c r="J119" s="741"/>
      <c r="K119" s="741"/>
      <c r="L119" s="203" t="str">
        <f>IF(OR(L30="NA"),"NA",IF(ROUND(L30,1)=0,"si","verificar!"))</f>
        <v>si</v>
      </c>
      <c r="M119" s="215"/>
      <c r="N119" s="215"/>
      <c r="O119" s="191"/>
      <c r="P119" s="191"/>
      <c r="Q119" s="191"/>
    </row>
    <row r="120" spans="2:17" s="103" customFormat="1" ht="10.9" customHeight="1" x14ac:dyDescent="0.15">
      <c r="B120" s="190"/>
      <c r="C120" s="214" t="s">
        <v>3434</v>
      </c>
      <c r="E120" s="215"/>
      <c r="F120" s="215"/>
      <c r="G120" s="203" t="str">
        <f>IF(OR(G42="NA"),"NA",IF(ROUND(G42,1)=0,"si","verificar!"))</f>
        <v>si</v>
      </c>
      <c r="H120" s="741"/>
      <c r="I120" s="741"/>
      <c r="J120" s="741"/>
      <c r="K120" s="741"/>
      <c r="L120" s="203" t="str">
        <f>IF(OR(L42="NA"),"NA",IF(ROUND(L42,1)=0,"si","verificar!"))</f>
        <v>si</v>
      </c>
      <c r="M120" s="215"/>
      <c r="N120" s="215"/>
      <c r="O120" s="191"/>
      <c r="P120" s="191"/>
      <c r="Q120" s="191"/>
    </row>
    <row r="121" spans="2:17" s="103" customFormat="1" ht="10.9" customHeight="1" x14ac:dyDescent="0.15">
      <c r="B121" s="190"/>
      <c r="C121" s="214" t="s">
        <v>3435</v>
      </c>
      <c r="E121" s="215"/>
      <c r="F121" s="215"/>
      <c r="G121" s="203" t="str">
        <f>IF(OR(G54="NA"),"NA",IF(ROUND(G54,1)=0,"si","verificar!"))</f>
        <v>si</v>
      </c>
      <c r="H121" s="741"/>
      <c r="I121" s="741"/>
      <c r="J121" s="741"/>
      <c r="K121" s="741"/>
      <c r="L121" s="203" t="str">
        <f>IF(OR(L54="NA"),"NA",IF(ROUND(L54,1)=0,"si","verificar!"))</f>
        <v>si</v>
      </c>
      <c r="M121" s="215"/>
      <c r="N121" s="215"/>
      <c r="O121" s="191"/>
      <c r="P121" s="191"/>
      <c r="Q121" s="191"/>
    </row>
    <row r="122" spans="2:17" s="103" customFormat="1" ht="10.9" customHeight="1" x14ac:dyDescent="0.15">
      <c r="B122" s="190"/>
      <c r="C122" s="214" t="s">
        <v>3436</v>
      </c>
      <c r="E122" s="215"/>
      <c r="F122" s="215"/>
      <c r="G122" s="203" t="str">
        <f>IF(OR(G66="NA"),"NA",IF(ROUND(G66,1)=0,"si","verificar!"))</f>
        <v>si</v>
      </c>
      <c r="H122" s="741"/>
      <c r="I122" s="741"/>
      <c r="J122" s="741"/>
      <c r="K122" s="741"/>
      <c r="L122" s="203" t="str">
        <f>IF(OR(L66="NA"),"NA",IF(ROUND(L66,1)=0,"si","verificar!"))</f>
        <v>si</v>
      </c>
      <c r="M122" s="215"/>
      <c r="N122" s="215"/>
      <c r="O122" s="191"/>
      <c r="P122" s="191"/>
      <c r="Q122" s="191"/>
    </row>
    <row r="123" spans="2:17" s="103" customFormat="1" ht="10.9" customHeight="1" x14ac:dyDescent="0.15">
      <c r="B123" s="190"/>
      <c r="C123" s="214" t="s">
        <v>3437</v>
      </c>
      <c r="E123" s="215"/>
      <c r="F123" s="215"/>
      <c r="G123" s="203" t="str">
        <f>IF(OR(G76="NA"),"NA",IF(ROUND(G76,1)=0,"si","verificar!"))</f>
        <v>si</v>
      </c>
      <c r="H123" s="741"/>
      <c r="I123" s="741"/>
      <c r="J123" s="741"/>
      <c r="K123" s="741"/>
      <c r="L123" s="203" t="str">
        <f>IF(OR(L76="NA"),"NA",IF(ROUND(L76,1)=0,"si","verificar!"))</f>
        <v>si</v>
      </c>
      <c r="M123" s="215"/>
      <c r="N123" s="215"/>
      <c r="O123" s="191"/>
      <c r="P123" s="191"/>
      <c r="Q123" s="191"/>
    </row>
    <row r="124" spans="2:17" ht="10.35" customHeight="1" x14ac:dyDescent="0.2">
      <c r="B124" s="276"/>
      <c r="C124" s="94"/>
      <c r="D124" s="94" t="s">
        <v>48</v>
      </c>
      <c r="E124" s="245"/>
      <c r="F124" s="245"/>
      <c r="G124" s="245"/>
      <c r="H124" s="245"/>
      <c r="I124" s="245"/>
      <c r="J124" s="245"/>
      <c r="K124" s="277"/>
      <c r="L124" s="277"/>
      <c r="M124" s="277"/>
      <c r="N124" s="277"/>
      <c r="O124" s="202"/>
      <c r="P124" s="258"/>
      <c r="Q124" s="258"/>
    </row>
    <row r="125" spans="2:17" ht="10.35" customHeight="1" x14ac:dyDescent="0.25">
      <c r="B125" s="190"/>
      <c r="C125" s="103"/>
      <c r="D125" s="103"/>
      <c r="E125" s="165"/>
      <c r="F125" s="165"/>
      <c r="G125" s="165"/>
      <c r="H125" s="165"/>
      <c r="I125" s="165"/>
      <c r="J125" s="165"/>
      <c r="K125" s="165"/>
      <c r="L125" s="165"/>
      <c r="M125" s="165"/>
      <c r="N125" s="165"/>
    </row>
    <row r="126" spans="2:17" ht="10.35" customHeight="1" x14ac:dyDescent="0.25">
      <c r="B126" s="190"/>
      <c r="C126" s="103"/>
      <c r="D126" s="103"/>
      <c r="E126" s="165"/>
      <c r="F126" s="165"/>
      <c r="G126" s="165"/>
      <c r="H126" s="165"/>
      <c r="I126" s="165"/>
      <c r="J126" s="165"/>
      <c r="K126" s="165"/>
      <c r="L126" s="165"/>
      <c r="M126" s="165"/>
      <c r="N126" s="165"/>
    </row>
    <row r="127" spans="2:17" ht="10.35" customHeight="1" x14ac:dyDescent="0.25">
      <c r="B127" s="190"/>
      <c r="C127" s="103"/>
      <c r="D127" s="103"/>
      <c r="E127" s="165"/>
      <c r="F127" s="165"/>
      <c r="G127" s="165"/>
      <c r="H127" s="165"/>
      <c r="I127" s="165"/>
      <c r="J127" s="165"/>
      <c r="K127" s="165"/>
      <c r="L127" s="165"/>
      <c r="M127" s="165"/>
      <c r="N127" s="165"/>
    </row>
    <row r="128" spans="2:17" ht="10.35" customHeight="1" x14ac:dyDescent="0.25">
      <c r="B128" s="190"/>
      <c r="C128" s="103"/>
      <c r="D128" s="103"/>
      <c r="E128" s="165"/>
      <c r="F128" s="165"/>
      <c r="G128" s="165"/>
      <c r="H128" s="165"/>
      <c r="I128" s="165"/>
      <c r="J128" s="165"/>
      <c r="K128" s="165"/>
      <c r="L128" s="165"/>
      <c r="M128" s="165"/>
      <c r="N128" s="165"/>
    </row>
    <row r="129" spans="2:14" ht="10.35" customHeight="1" x14ac:dyDescent="0.25">
      <c r="B129" s="190"/>
      <c r="C129" s="103"/>
      <c r="D129" s="103"/>
      <c r="E129" s="165"/>
      <c r="F129" s="165"/>
      <c r="G129" s="165"/>
      <c r="H129" s="165"/>
      <c r="I129" s="165"/>
      <c r="J129" s="165"/>
      <c r="K129" s="165"/>
      <c r="L129" s="165"/>
      <c r="M129" s="165"/>
      <c r="N129" s="165"/>
    </row>
    <row r="130" spans="2:14" ht="10.35" customHeight="1" x14ac:dyDescent="0.25">
      <c r="B130" s="190"/>
      <c r="C130" s="103"/>
      <c r="D130" s="103"/>
      <c r="E130" s="165"/>
      <c r="F130" s="165"/>
      <c r="G130" s="165"/>
      <c r="H130" s="165"/>
      <c r="I130" s="165"/>
      <c r="J130" s="165"/>
      <c r="K130" s="165"/>
      <c r="L130" s="165"/>
      <c r="M130" s="165"/>
      <c r="N130" s="165"/>
    </row>
    <row r="131" spans="2:14" ht="10.35" customHeight="1" x14ac:dyDescent="0.25">
      <c r="B131" s="190"/>
      <c r="C131" s="103"/>
      <c r="D131" s="103"/>
      <c r="E131" s="165"/>
      <c r="F131" s="165"/>
      <c r="G131" s="165"/>
      <c r="H131" s="165"/>
      <c r="I131" s="165"/>
      <c r="J131" s="165"/>
      <c r="K131" s="165"/>
      <c r="L131" s="165"/>
      <c r="M131" s="165"/>
      <c r="N131" s="165"/>
    </row>
    <row r="132" spans="2:14" ht="10.35" customHeight="1" x14ac:dyDescent="0.25">
      <c r="B132" s="190"/>
      <c r="C132" s="103"/>
      <c r="D132" s="103"/>
      <c r="E132" s="165"/>
      <c r="F132" s="165"/>
      <c r="G132" s="165"/>
      <c r="H132" s="165"/>
      <c r="I132" s="165"/>
      <c r="J132" s="165"/>
      <c r="K132" s="165"/>
      <c r="L132" s="165"/>
      <c r="M132" s="165"/>
      <c r="N132" s="165"/>
    </row>
    <row r="133" spans="2:14" ht="10.35" customHeight="1" x14ac:dyDescent="0.25">
      <c r="B133" s="190"/>
      <c r="C133" s="103"/>
      <c r="D133" s="103"/>
      <c r="E133" s="165"/>
      <c r="F133" s="165"/>
      <c r="G133" s="165"/>
      <c r="H133" s="165"/>
      <c r="I133" s="165"/>
      <c r="J133" s="165"/>
      <c r="K133" s="165"/>
      <c r="L133" s="165"/>
      <c r="M133" s="165"/>
      <c r="N133" s="165"/>
    </row>
    <row r="134" spans="2:14" ht="10.35" customHeight="1" x14ac:dyDescent="0.25">
      <c r="B134" s="190"/>
      <c r="C134" s="103"/>
      <c r="D134" s="103"/>
      <c r="E134" s="165"/>
      <c r="F134" s="165"/>
      <c r="G134" s="165"/>
      <c r="H134" s="165"/>
      <c r="I134" s="165"/>
      <c r="J134" s="165"/>
      <c r="K134" s="165"/>
      <c r="L134" s="165"/>
      <c r="M134" s="165"/>
      <c r="N134" s="165"/>
    </row>
    <row r="135" spans="2:14" ht="10.35" customHeight="1" x14ac:dyDescent="0.25">
      <c r="B135" s="190"/>
      <c r="C135" s="103"/>
      <c r="D135" s="103"/>
      <c r="E135" s="165"/>
      <c r="F135" s="165"/>
      <c r="G135" s="165"/>
      <c r="H135" s="165"/>
      <c r="I135" s="165"/>
      <c r="J135" s="165"/>
      <c r="K135" s="165"/>
      <c r="L135" s="165"/>
      <c r="M135" s="165"/>
      <c r="N135" s="165"/>
    </row>
    <row r="136" spans="2:14" ht="10.35" customHeight="1" x14ac:dyDescent="0.25">
      <c r="B136" s="190"/>
      <c r="C136" s="103"/>
      <c r="D136" s="103"/>
      <c r="E136" s="165"/>
      <c r="F136" s="165"/>
      <c r="G136" s="165"/>
      <c r="H136" s="165"/>
      <c r="I136" s="165"/>
      <c r="J136" s="165"/>
      <c r="K136" s="165"/>
      <c r="L136" s="165"/>
      <c r="M136" s="165"/>
      <c r="N136" s="165"/>
    </row>
    <row r="137" spans="2:14" ht="10.35" customHeight="1" x14ac:dyDescent="0.25">
      <c r="B137" s="190"/>
      <c r="C137" s="103"/>
      <c r="D137" s="103"/>
      <c r="E137" s="165"/>
      <c r="F137" s="165"/>
      <c r="G137" s="165"/>
      <c r="H137" s="165"/>
      <c r="I137" s="165"/>
      <c r="J137" s="165"/>
      <c r="K137" s="165"/>
      <c r="L137" s="165"/>
      <c r="M137" s="165"/>
      <c r="N137" s="165"/>
    </row>
    <row r="138" spans="2:14" ht="10.35" customHeight="1" x14ac:dyDescent="0.25">
      <c r="B138" s="190"/>
      <c r="C138" s="103"/>
      <c r="D138" s="103"/>
      <c r="E138" s="165"/>
      <c r="F138" s="165"/>
      <c r="G138" s="165"/>
      <c r="H138" s="165"/>
      <c r="I138" s="165"/>
      <c r="J138" s="165"/>
      <c r="K138" s="165"/>
      <c r="L138" s="165"/>
      <c r="M138" s="165"/>
      <c r="N138" s="165"/>
    </row>
    <row r="139" spans="2:14" ht="10.35" customHeight="1" x14ac:dyDescent="0.2">
      <c r="B139" s="256"/>
      <c r="C139" s="257"/>
      <c r="D139" s="257"/>
    </row>
    <row r="140" spans="2:14" ht="10.35" customHeight="1" x14ac:dyDescent="0.2">
      <c r="B140" s="256"/>
      <c r="C140" s="257"/>
      <c r="D140" s="257"/>
    </row>
    <row r="141" spans="2:14" ht="10.35" customHeight="1" x14ac:dyDescent="0.2">
      <c r="B141" s="256"/>
      <c r="C141" s="257"/>
      <c r="D141" s="257"/>
    </row>
    <row r="142" spans="2:14" ht="10.35" customHeight="1" x14ac:dyDescent="0.2">
      <c r="B142" s="256"/>
      <c r="C142" s="257"/>
      <c r="D142" s="257"/>
    </row>
    <row r="143" spans="2:14" ht="10.35" customHeight="1" x14ac:dyDescent="0.2">
      <c r="B143" s="256"/>
      <c r="C143" s="257"/>
      <c r="D143" s="257"/>
    </row>
    <row r="144" spans="2:14" ht="10.35" customHeight="1" x14ac:dyDescent="0.2">
      <c r="B144" s="256"/>
      <c r="C144" s="257"/>
      <c r="D144" s="257"/>
    </row>
    <row r="145" spans="2:4" x14ac:dyDescent="0.2">
      <c r="B145" s="256"/>
      <c r="C145" s="257"/>
      <c r="D145" s="257" t="s">
        <v>48</v>
      </c>
    </row>
    <row r="146" spans="2:4" x14ac:dyDescent="0.2">
      <c r="B146" s="256"/>
      <c r="C146" s="257"/>
      <c r="D146" s="257"/>
    </row>
  </sheetData>
  <sheetProtection password="EECE" sheet="1" objects="1" scenarios="1" formatCells="0" formatColumns="0" formatRows="0"/>
  <customSheetViews>
    <customSheetView guid="{C3088B2E-F853-4D7E-B687-C6500891DFCB}" scale="110" showPageBreaks="1" fitToPage="1" printArea="1">
      <pane xSplit="3" ySplit="6" topLeftCell="D60" activePane="bottomRight" state="frozen"/>
      <selection pane="bottomRight"/>
      <rowBreaks count="1" manualBreakCount="1">
        <brk id="50" max="12" man="1"/>
      </rowBreaks>
      <pageMargins left="0.70866141732283472" right="0.70866141732283472" top="0.74803149606299213" bottom="0.74803149606299213" header="0.31496062992125984" footer="0.31496062992125984"/>
      <pageSetup scale="78" fitToHeight="0" orientation="landscape" r:id="rId1"/>
    </customSheetView>
    <customSheetView guid="{F866C9B2-56BF-4FE4-B270-CC8FE15A5892}" scale="110" showPageBreaks="1" fitToPage="1" printArea="1">
      <pane xSplit="3" ySplit="6" topLeftCell="D7" activePane="bottomRight" state="frozen"/>
      <selection pane="bottomRight"/>
      <rowBreaks count="1" manualBreakCount="1">
        <brk id="50" max="12" man="1"/>
      </rowBreaks>
      <pageMargins left="0.70866141732283472" right="0.70866141732283472" top="0.74803149606299213" bottom="0.74803149606299213" header="0.31496062992125984" footer="0.31496062992125984"/>
      <pageSetup scale="77" fitToHeight="0" orientation="landscape" r:id="rId2"/>
    </customSheetView>
    <customSheetView guid="{D66484CB-9D53-43A1-A83D-11534BC40BF6}" scale="110" showPageBreaks="1" fitToPage="1" printArea="1">
      <pane xSplit="3" ySplit="6" topLeftCell="D7" activePane="bottomRight" state="frozen"/>
      <selection pane="bottomRight" activeCell="D32" sqref="D32"/>
      <rowBreaks count="1" manualBreakCount="1">
        <brk id="50" max="12" man="1"/>
      </rowBreaks>
      <pageMargins left="0.70866141732283472" right="0.70866141732283472" top="0.74803149606299213" bottom="0.74803149606299213" header="0.31496062992125984" footer="0.31496062992125984"/>
      <pageSetup scale="77" fitToHeight="0" orientation="landscape" r:id="rId3"/>
    </customSheetView>
  </customSheetViews>
  <mergeCells count="12">
    <mergeCell ref="B4:C5"/>
    <mergeCell ref="E4:H4"/>
    <mergeCell ref="I4:I5"/>
    <mergeCell ref="J4:J5"/>
    <mergeCell ref="K4:K5"/>
    <mergeCell ref="G1:M1"/>
    <mergeCell ref="N3:N5"/>
    <mergeCell ref="M4:M5"/>
    <mergeCell ref="P4:Q4"/>
    <mergeCell ref="G3:H3"/>
    <mergeCell ref="F2:N2"/>
    <mergeCell ref="L4:L5"/>
  </mergeCells>
  <conditionalFormatting sqref="P8:Q83">
    <cfRule type="containsText" dxfId="101" priority="7" operator="containsText" text="NA">
      <formula>NOT(ISERROR(SEARCH("NA",P8)))</formula>
    </cfRule>
    <cfRule type="cellIs" dxfId="100" priority="8" operator="between">
      <formula>-0.1</formula>
      <formula>0.1</formula>
    </cfRule>
    <cfRule type="cellIs" dxfId="99" priority="22" operator="lessThan">
      <formula>-0.1</formula>
    </cfRule>
    <cfRule type="cellIs" dxfId="98" priority="23" operator="greaterThan">
      <formula>0.1</formula>
    </cfRule>
  </conditionalFormatting>
  <conditionalFormatting sqref="E86:N114">
    <cfRule type="cellIs" dxfId="97" priority="20" operator="lessThan">
      <formula>-0.5</formula>
    </cfRule>
    <cfRule type="cellIs" dxfId="96" priority="21" operator="greaterThan">
      <formula>0.5</formula>
    </cfRule>
  </conditionalFormatting>
  <conditionalFormatting sqref="E86:N114">
    <cfRule type="cellIs" dxfId="95" priority="14" operator="lessThan">
      <formula>-0.1</formula>
    </cfRule>
    <cfRule type="cellIs" dxfId="94" priority="15" operator="greaterThan">
      <formula>0.1</formula>
    </cfRule>
  </conditionalFormatting>
  <conditionalFormatting sqref="E115:N116 E124:N124 E117:F123 M117:N123">
    <cfRule type="containsText" dxfId="93" priority="16" operator="containsText" text="Vérifier">
      <formula>NOT(ISERROR(SEARCH("Vérifier",E115)))</formula>
    </cfRule>
  </conditionalFormatting>
  <conditionalFormatting sqref="E87:N114">
    <cfRule type="cellIs" dxfId="92" priority="9" operator="between">
      <formula>-0.1</formula>
      <formula>0.1</formula>
    </cfRule>
    <cfRule type="containsText" dxfId="91" priority="10" operator="containsText" text="NA">
      <formula>NOT(ISERROR(SEARCH("NA",E87)))</formula>
    </cfRule>
  </conditionalFormatting>
  <conditionalFormatting sqref="G117:L123">
    <cfRule type="containsText" dxfId="90" priority="1" operator="containsText" text="v">
      <formula>NOT(ISERROR(SEARCH("v",G117)))</formula>
    </cfRule>
    <cfRule type="containsText" dxfId="89" priority="2" operator="containsText" text="verificar">
      <formula>NOT(ISERROR(SEARCH("verificar",G117)))</formula>
    </cfRule>
    <cfRule type="containsText" dxfId="88" priority="3" operator="containsText" text="si">
      <formula>NOT(ISERROR(SEARCH("si",G117)))</formula>
    </cfRule>
    <cfRule type="containsText" dxfId="87" priority="4" operator="containsText" text="NV">
      <formula>NOT(ISERROR(SEARCH("NV",G117)))</formula>
    </cfRule>
    <cfRule type="containsText" dxfId="86" priority="5" operator="containsText" text="check">
      <formula>NOT(ISERROR(SEARCH("check",G117)))</formula>
    </cfRule>
  </conditionalFormatting>
  <pageMargins left="0.70866141732283505" right="0.70866141732283505" top="0.74803149606299202" bottom="0.74803149606299202" header="0.31496062992126" footer="0.31496062992126"/>
  <pageSetup scale="77" fitToHeight="0" orientation="landscape" r:id="rId4"/>
  <rowBreaks count="1" manualBreakCount="1">
    <brk id="51" min="1" max="13" man="1"/>
  </rowBreaks>
  <legacyDrawing r:id="rId5"/>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indexed="52"/>
    <pageSetUpPr fitToPage="1"/>
  </sheetPr>
  <dimension ref="A1:Q128"/>
  <sheetViews>
    <sheetView workbookViewId="0">
      <pane xSplit="4" ySplit="7" topLeftCell="E8" activePane="bottomRight" state="frozen"/>
      <selection activeCell="Q53" sqref="P8:Q53"/>
      <selection pane="topRight" activeCell="Q53" sqref="P8:Q53"/>
      <selection pane="bottomLeft" activeCell="Q53" sqref="P8:Q53"/>
      <selection pane="bottomRight" activeCell="E8" sqref="E8"/>
    </sheetView>
  </sheetViews>
  <sheetFormatPr baseColWidth="10" defaultColWidth="9.140625" defaultRowHeight="12.75" x14ac:dyDescent="0.2"/>
  <cols>
    <col min="1" max="1" width="12.85546875" style="164" hidden="1" customWidth="1"/>
    <col min="2" max="2" width="7.28515625" style="221" customWidth="1"/>
    <col min="3" max="3" width="65.7109375" style="164" customWidth="1"/>
    <col min="4" max="4" width="0.85546875" style="164" customWidth="1"/>
    <col min="5" max="14" width="10" style="164" customWidth="1"/>
    <col min="15" max="15" width="3.28515625" style="164" customWidth="1"/>
    <col min="16" max="17" width="11.7109375" style="164" customWidth="1"/>
    <col min="18" max="18" width="9.140625" style="164" customWidth="1"/>
    <col min="19" max="16384" width="9.140625" style="164"/>
  </cols>
  <sheetData>
    <row r="1" spans="1:17" ht="14.25" x14ac:dyDescent="0.25">
      <c r="B1" s="513" t="str">
        <f>+Coverpage!A1</f>
        <v>GFSM2014_V1.5</v>
      </c>
      <c r="C1" s="514"/>
      <c r="D1" s="515"/>
      <c r="E1" s="516"/>
      <c r="F1" s="517"/>
      <c r="G1" s="771" t="str">
        <f>Reporting_Country_Name</f>
        <v>Colombia</v>
      </c>
      <c r="H1" s="771"/>
      <c r="I1" s="771"/>
      <c r="J1" s="771"/>
      <c r="K1" s="771"/>
      <c r="L1" s="771"/>
      <c r="M1" s="771"/>
      <c r="N1" s="661" t="str">
        <f>Reporting_Country_Code</f>
        <v>233</v>
      </c>
      <c r="O1" s="519"/>
      <c r="P1" s="653" t="s">
        <v>2731</v>
      </c>
      <c r="Q1" s="654"/>
    </row>
    <row r="2" spans="1:17" ht="14.25" x14ac:dyDescent="0.25">
      <c r="B2" s="513" t="s">
        <v>3247</v>
      </c>
      <c r="C2" s="582"/>
      <c r="D2" s="583"/>
      <c r="E2" s="523"/>
      <c r="F2" s="780" t="str">
        <f>"En "&amp;Coverpage!$I$15&amp;" de "&amp;Coverpage!$I$14&amp;" / El año fiscal termina en "&amp;Coverpage!$I$11&amp;" "&amp;Coverpage!$I$12</f>
        <v xml:space="preserve">En Billion de Colombian Pesos (COP) / El año fiscal termina en  </v>
      </c>
      <c r="G2" s="781"/>
      <c r="H2" s="781"/>
      <c r="I2" s="781"/>
      <c r="J2" s="781"/>
      <c r="K2" s="781"/>
      <c r="L2" s="781"/>
      <c r="M2" s="781"/>
      <c r="N2" s="781"/>
      <c r="O2" s="519"/>
      <c r="P2" s="655" t="s">
        <v>2732</v>
      </c>
      <c r="Q2" s="656"/>
    </row>
    <row r="3" spans="1:17" ht="12" customHeight="1" x14ac:dyDescent="0.25">
      <c r="B3" s="524"/>
      <c r="C3" s="525"/>
      <c r="D3" s="526"/>
      <c r="E3" s="527"/>
      <c r="F3" s="528"/>
      <c r="G3" s="784" t="s">
        <v>2726</v>
      </c>
      <c r="H3" s="784"/>
      <c r="I3" s="529" t="str">
        <f>Reporting_Period_Code</f>
        <v>2016</v>
      </c>
      <c r="J3" s="529"/>
      <c r="K3" s="528"/>
      <c r="L3" s="528"/>
      <c r="M3" s="530"/>
      <c r="N3" s="790" t="s">
        <v>2723</v>
      </c>
      <c r="O3" s="531"/>
      <c r="P3" s="168"/>
      <c r="Q3" s="168"/>
    </row>
    <row r="4" spans="1:17" ht="12" customHeight="1" x14ac:dyDescent="0.2">
      <c r="B4" s="794" t="s">
        <v>3246</v>
      </c>
      <c r="C4" s="795"/>
      <c r="D4" s="532"/>
      <c r="E4" s="787" t="s">
        <v>2727</v>
      </c>
      <c r="F4" s="788"/>
      <c r="G4" s="788"/>
      <c r="H4" s="789"/>
      <c r="I4" s="790" t="s">
        <v>2719</v>
      </c>
      <c r="J4" s="790" t="s">
        <v>2720</v>
      </c>
      <c r="K4" s="792" t="s">
        <v>2721</v>
      </c>
      <c r="L4" s="790" t="s">
        <v>2728</v>
      </c>
      <c r="M4" s="793" t="s">
        <v>2722</v>
      </c>
      <c r="N4" s="791"/>
      <c r="O4" s="531"/>
      <c r="P4" s="778" t="s">
        <v>2733</v>
      </c>
      <c r="Q4" s="779"/>
    </row>
    <row r="5" spans="1:17" ht="30" customHeight="1" x14ac:dyDescent="0.2">
      <c r="B5" s="794"/>
      <c r="C5" s="795"/>
      <c r="D5" s="532"/>
      <c r="E5" s="711" t="s">
        <v>2729</v>
      </c>
      <c r="F5" s="712" t="s">
        <v>2813</v>
      </c>
      <c r="G5" s="712" t="s">
        <v>2728</v>
      </c>
      <c r="H5" s="713" t="s">
        <v>2718</v>
      </c>
      <c r="I5" s="791"/>
      <c r="J5" s="791"/>
      <c r="K5" s="792"/>
      <c r="L5" s="791"/>
      <c r="M5" s="793"/>
      <c r="N5" s="791"/>
      <c r="O5" s="531"/>
      <c r="P5" s="668" t="s">
        <v>2734</v>
      </c>
      <c r="Q5" s="669" t="s">
        <v>2735</v>
      </c>
    </row>
    <row r="6" spans="1:17" ht="30" hidden="1" customHeight="1" x14ac:dyDescent="0.2">
      <c r="B6" s="618"/>
      <c r="C6" s="619"/>
      <c r="D6" s="532"/>
      <c r="E6" s="533" t="s">
        <v>1562</v>
      </c>
      <c r="F6" s="534" t="s">
        <v>1563</v>
      </c>
      <c r="G6" s="534" t="s">
        <v>1575</v>
      </c>
      <c r="H6" s="535" t="s">
        <v>634</v>
      </c>
      <c r="I6" s="535" t="s">
        <v>1564</v>
      </c>
      <c r="J6" s="534" t="s">
        <v>1574</v>
      </c>
      <c r="K6" s="535" t="s">
        <v>637</v>
      </c>
      <c r="L6" s="534" t="s">
        <v>1576</v>
      </c>
      <c r="M6" s="574" t="s">
        <v>1565</v>
      </c>
      <c r="N6" s="574" t="s">
        <v>1577</v>
      </c>
      <c r="O6" s="531"/>
      <c r="P6" s="169"/>
      <c r="Q6" s="170"/>
    </row>
    <row r="7" spans="1:17" ht="10.5" customHeight="1" x14ac:dyDescent="0.2">
      <c r="A7" s="143"/>
      <c r="B7" s="536"/>
      <c r="C7" s="537"/>
      <c r="D7" s="537"/>
      <c r="E7" s="538" t="s">
        <v>632</v>
      </c>
      <c r="F7" s="539" t="s">
        <v>633</v>
      </c>
      <c r="G7" s="540" t="s">
        <v>155</v>
      </c>
      <c r="H7" s="539" t="s">
        <v>634</v>
      </c>
      <c r="I7" s="540" t="s">
        <v>635</v>
      </c>
      <c r="J7" s="539" t="s">
        <v>636</v>
      </c>
      <c r="K7" s="540" t="s">
        <v>637</v>
      </c>
      <c r="L7" s="539" t="s">
        <v>156</v>
      </c>
      <c r="M7" s="541" t="s">
        <v>638</v>
      </c>
      <c r="N7" s="541" t="s">
        <v>639</v>
      </c>
      <c r="O7" s="531"/>
      <c r="P7" s="171" t="s">
        <v>640</v>
      </c>
      <c r="Q7" s="172" t="s">
        <v>641</v>
      </c>
    </row>
    <row r="8" spans="1:17" ht="15" customHeight="1" x14ac:dyDescent="0.25">
      <c r="A8" s="143" t="s">
        <v>2139</v>
      </c>
      <c r="B8" s="594" t="s">
        <v>488</v>
      </c>
      <c r="C8" s="585" t="s">
        <v>3226</v>
      </c>
      <c r="D8" s="640" t="s">
        <v>48</v>
      </c>
      <c r="E8" s="466"/>
      <c r="F8" s="639">
        <v>0</v>
      </c>
      <c r="G8" s="639">
        <v>0</v>
      </c>
      <c r="H8" s="466"/>
      <c r="I8" s="639">
        <v>0</v>
      </c>
      <c r="J8" s="639">
        <v>0</v>
      </c>
      <c r="K8" s="639">
        <v>0</v>
      </c>
      <c r="L8" s="639">
        <v>0</v>
      </c>
      <c r="M8" s="466"/>
      <c r="N8" s="466"/>
      <c r="O8" s="546"/>
      <c r="P8" s="237">
        <f t="shared" ref="P8:P39" si="0">IF(OR(H8="NA",E8="NA",F8="NA",G8="NA"),"NA",SUM(H8)-SUM(E8:G8))</f>
        <v>0</v>
      </c>
      <c r="Q8" s="238">
        <f t="shared" ref="Q8:Q39" si="1">IF(OR(M8="NA",H8="NA",I8="NA",J8="NA",K8="NA",L8="NA"),"NA",SUM(M8)-SUM(H8:L8))</f>
        <v>0</v>
      </c>
    </row>
    <row r="9" spans="1:17" ht="10.9" customHeight="1" x14ac:dyDescent="0.25">
      <c r="A9" s="143"/>
      <c r="B9" s="641" t="s">
        <v>489</v>
      </c>
      <c r="C9" s="550" t="s">
        <v>3227</v>
      </c>
      <c r="D9" s="532" t="s">
        <v>48</v>
      </c>
      <c r="E9" s="473">
        <v>0</v>
      </c>
      <c r="F9" s="473">
        <v>0</v>
      </c>
      <c r="G9" s="473">
        <v>0</v>
      </c>
      <c r="H9" s="473">
        <v>0</v>
      </c>
      <c r="I9" s="473">
        <v>0</v>
      </c>
      <c r="J9" s="473">
        <v>0</v>
      </c>
      <c r="K9" s="473">
        <v>0</v>
      </c>
      <c r="L9" s="473">
        <v>0</v>
      </c>
      <c r="M9" s="473">
        <v>0</v>
      </c>
      <c r="N9" s="473">
        <v>0</v>
      </c>
      <c r="O9" s="546"/>
      <c r="P9" s="178">
        <f t="shared" si="0"/>
        <v>0</v>
      </c>
      <c r="Q9" s="179">
        <f t="shared" si="1"/>
        <v>0</v>
      </c>
    </row>
    <row r="10" spans="1:17" ht="10.9" customHeight="1" x14ac:dyDescent="0.25">
      <c r="A10" s="143" t="s">
        <v>2140</v>
      </c>
      <c r="B10" s="642" t="s">
        <v>490</v>
      </c>
      <c r="C10" s="552" t="s">
        <v>3228</v>
      </c>
      <c r="D10" s="553" t="s">
        <v>48</v>
      </c>
      <c r="E10" s="475" t="str">
        <f>IF(+E8="","",+E8)</f>
        <v/>
      </c>
      <c r="F10" s="473">
        <v>0</v>
      </c>
      <c r="G10" s="473">
        <v>0</v>
      </c>
      <c r="H10" s="475" t="str">
        <f>IF(+H8="","",+H8)</f>
        <v/>
      </c>
      <c r="I10" s="473">
        <v>0</v>
      </c>
      <c r="J10" s="473">
        <v>0</v>
      </c>
      <c r="K10" s="473">
        <v>0</v>
      </c>
      <c r="L10" s="473">
        <v>0</v>
      </c>
      <c r="M10" s="475" t="str">
        <f>IF(+M8="","",+M8)</f>
        <v/>
      </c>
      <c r="N10" s="475" t="str">
        <f>IF(+N8="","",+N8)</f>
        <v/>
      </c>
      <c r="O10" s="546"/>
      <c r="P10" s="181">
        <f t="shared" si="0"/>
        <v>0</v>
      </c>
      <c r="Q10" s="182">
        <f t="shared" si="1"/>
        <v>0</v>
      </c>
    </row>
    <row r="11" spans="1:17" ht="10.9" customHeight="1" x14ac:dyDescent="0.25">
      <c r="A11" s="143"/>
      <c r="B11" s="641" t="s">
        <v>491</v>
      </c>
      <c r="C11" s="550" t="s">
        <v>3229</v>
      </c>
      <c r="D11" s="532" t="s">
        <v>48</v>
      </c>
      <c r="E11" s="473">
        <v>0</v>
      </c>
      <c r="F11" s="473">
        <v>0</v>
      </c>
      <c r="G11" s="473">
        <v>0</v>
      </c>
      <c r="H11" s="473">
        <v>0</v>
      </c>
      <c r="I11" s="473">
        <v>0</v>
      </c>
      <c r="J11" s="473">
        <v>0</v>
      </c>
      <c r="K11" s="473">
        <v>0</v>
      </c>
      <c r="L11" s="473">
        <v>0</v>
      </c>
      <c r="M11" s="473">
        <v>0</v>
      </c>
      <c r="N11" s="473">
        <v>0</v>
      </c>
      <c r="O11" s="546"/>
      <c r="P11" s="178">
        <f t="shared" si="0"/>
        <v>0</v>
      </c>
      <c r="Q11" s="179">
        <f t="shared" si="1"/>
        <v>0</v>
      </c>
    </row>
    <row r="12" spans="1:17" ht="10.9" customHeight="1" x14ac:dyDescent="0.25">
      <c r="A12" s="143"/>
      <c r="B12" s="641" t="s">
        <v>492</v>
      </c>
      <c r="C12" s="550" t="s">
        <v>3230</v>
      </c>
      <c r="D12" s="532" t="s">
        <v>48</v>
      </c>
      <c r="E12" s="473">
        <v>0</v>
      </c>
      <c r="F12" s="473">
        <v>0</v>
      </c>
      <c r="G12" s="473">
        <v>0</v>
      </c>
      <c r="H12" s="473">
        <v>0</v>
      </c>
      <c r="I12" s="473">
        <v>0</v>
      </c>
      <c r="J12" s="473">
        <v>0</v>
      </c>
      <c r="K12" s="473">
        <v>0</v>
      </c>
      <c r="L12" s="473">
        <v>0</v>
      </c>
      <c r="M12" s="473">
        <v>0</v>
      </c>
      <c r="N12" s="473">
        <v>0</v>
      </c>
      <c r="O12" s="546"/>
      <c r="P12" s="178">
        <f t="shared" si="0"/>
        <v>0</v>
      </c>
      <c r="Q12" s="179">
        <f t="shared" si="1"/>
        <v>0</v>
      </c>
    </row>
    <row r="13" spans="1:17" ht="10.9" customHeight="1" x14ac:dyDescent="0.25">
      <c r="A13" s="143" t="s">
        <v>2141</v>
      </c>
      <c r="B13" s="642" t="s">
        <v>493</v>
      </c>
      <c r="C13" s="552" t="s">
        <v>3231</v>
      </c>
      <c r="D13" s="553" t="s">
        <v>48</v>
      </c>
      <c r="E13" s="475" t="str">
        <f>IF(+E8="","",+E8)</f>
        <v/>
      </c>
      <c r="F13" s="473">
        <v>0</v>
      </c>
      <c r="G13" s="473">
        <v>0</v>
      </c>
      <c r="H13" s="475" t="str">
        <f>IF(+H8="","",+H8)</f>
        <v/>
      </c>
      <c r="I13" s="473">
        <v>0</v>
      </c>
      <c r="J13" s="473">
        <v>0</v>
      </c>
      <c r="K13" s="473">
        <v>0</v>
      </c>
      <c r="L13" s="473">
        <v>0</v>
      </c>
      <c r="M13" s="475" t="str">
        <f>IF(+M8="","",+M8)</f>
        <v/>
      </c>
      <c r="N13" s="475" t="str">
        <f>IF(+N8="","",+N8)</f>
        <v/>
      </c>
      <c r="O13" s="546"/>
      <c r="P13" s="181">
        <f t="shared" si="0"/>
        <v>0</v>
      </c>
      <c r="Q13" s="182">
        <f t="shared" si="1"/>
        <v>0</v>
      </c>
    </row>
    <row r="14" spans="1:17" ht="10.9" customHeight="1" x14ac:dyDescent="0.25">
      <c r="A14" s="143"/>
      <c r="B14" s="641" t="s">
        <v>494</v>
      </c>
      <c r="C14" s="550" t="s">
        <v>3232</v>
      </c>
      <c r="D14" s="532" t="s">
        <v>48</v>
      </c>
      <c r="E14" s="473">
        <v>0</v>
      </c>
      <c r="F14" s="473">
        <v>0</v>
      </c>
      <c r="G14" s="473">
        <v>0</v>
      </c>
      <c r="H14" s="473">
        <v>0</v>
      </c>
      <c r="I14" s="473">
        <v>0</v>
      </c>
      <c r="J14" s="473">
        <v>0</v>
      </c>
      <c r="K14" s="473">
        <v>0</v>
      </c>
      <c r="L14" s="473">
        <v>0</v>
      </c>
      <c r="M14" s="473">
        <v>0</v>
      </c>
      <c r="N14" s="473">
        <v>0</v>
      </c>
      <c r="O14" s="546"/>
      <c r="P14" s="178">
        <f t="shared" si="0"/>
        <v>0</v>
      </c>
      <c r="Q14" s="179">
        <f t="shared" si="1"/>
        <v>0</v>
      </c>
    </row>
    <row r="15" spans="1:17" ht="10.9" customHeight="1" x14ac:dyDescent="0.25">
      <c r="A15" s="143" t="s">
        <v>2142</v>
      </c>
      <c r="B15" s="642" t="s">
        <v>495</v>
      </c>
      <c r="C15" s="552" t="s">
        <v>3233</v>
      </c>
      <c r="D15" s="553" t="s">
        <v>48</v>
      </c>
      <c r="E15" s="475" t="str">
        <f>IF(+E8="","",+E8)</f>
        <v/>
      </c>
      <c r="F15" s="473">
        <v>0</v>
      </c>
      <c r="G15" s="473">
        <v>0</v>
      </c>
      <c r="H15" s="475" t="str">
        <f>IF(+H8="","",+H8)</f>
        <v/>
      </c>
      <c r="I15" s="473">
        <v>0</v>
      </c>
      <c r="J15" s="473">
        <v>0</v>
      </c>
      <c r="K15" s="473">
        <v>0</v>
      </c>
      <c r="L15" s="473">
        <v>0</v>
      </c>
      <c r="M15" s="475" t="str">
        <f>IF(+M8="","",+M8)</f>
        <v/>
      </c>
      <c r="N15" s="475" t="str">
        <f>IF(+N8="","",+N8)</f>
        <v/>
      </c>
      <c r="O15" s="546"/>
      <c r="P15" s="181">
        <f t="shared" si="0"/>
        <v>0</v>
      </c>
      <c r="Q15" s="182">
        <f t="shared" si="1"/>
        <v>0</v>
      </c>
    </row>
    <row r="16" spans="1:17" ht="10.9" customHeight="1" x14ac:dyDescent="0.25">
      <c r="A16" s="143"/>
      <c r="B16" s="641" t="s">
        <v>496</v>
      </c>
      <c r="C16" s="550" t="s">
        <v>3234</v>
      </c>
      <c r="D16" s="532" t="s">
        <v>48</v>
      </c>
      <c r="E16" s="473">
        <v>0</v>
      </c>
      <c r="F16" s="473">
        <v>0</v>
      </c>
      <c r="G16" s="473">
        <v>0</v>
      </c>
      <c r="H16" s="473">
        <v>0</v>
      </c>
      <c r="I16" s="473">
        <v>0</v>
      </c>
      <c r="J16" s="473">
        <v>0</v>
      </c>
      <c r="K16" s="473">
        <v>0</v>
      </c>
      <c r="L16" s="473">
        <v>0</v>
      </c>
      <c r="M16" s="473">
        <v>0</v>
      </c>
      <c r="N16" s="473">
        <v>0</v>
      </c>
      <c r="O16" s="546"/>
      <c r="P16" s="178">
        <f t="shared" si="0"/>
        <v>0</v>
      </c>
      <c r="Q16" s="179">
        <f t="shared" si="1"/>
        <v>0</v>
      </c>
    </row>
    <row r="17" spans="1:17" ht="10.9" customHeight="1" x14ac:dyDescent="0.25">
      <c r="A17" s="143" t="s">
        <v>2143</v>
      </c>
      <c r="B17" s="643" t="s">
        <v>497</v>
      </c>
      <c r="C17" s="563" t="s">
        <v>3235</v>
      </c>
      <c r="D17" s="537" t="s">
        <v>48</v>
      </c>
      <c r="E17" s="478" t="str">
        <f>IF(+E8="","",+E8)</f>
        <v/>
      </c>
      <c r="F17" s="474">
        <v>0</v>
      </c>
      <c r="G17" s="474">
        <v>0</v>
      </c>
      <c r="H17" s="475" t="str">
        <f>IF(+H8="","",+H8)</f>
        <v/>
      </c>
      <c r="I17" s="474">
        <v>0</v>
      </c>
      <c r="J17" s="474">
        <v>0</v>
      </c>
      <c r="K17" s="474">
        <v>0</v>
      </c>
      <c r="L17" s="474">
        <v>0</v>
      </c>
      <c r="M17" s="478" t="str">
        <f>IF(+M8="","",+M8)</f>
        <v/>
      </c>
      <c r="N17" s="478" t="str">
        <f>IF(+N8="","",+N8)</f>
        <v/>
      </c>
      <c r="O17" s="546"/>
      <c r="P17" s="188">
        <f t="shared" si="0"/>
        <v>0</v>
      </c>
      <c r="Q17" s="189">
        <f t="shared" si="1"/>
        <v>0</v>
      </c>
    </row>
    <row r="18" spans="1:17" ht="15" customHeight="1" x14ac:dyDescent="0.25">
      <c r="A18" s="143" t="s">
        <v>2144</v>
      </c>
      <c r="B18" s="594" t="s">
        <v>498</v>
      </c>
      <c r="C18" s="725" t="s">
        <v>3250</v>
      </c>
      <c r="D18" s="640" t="s">
        <v>48</v>
      </c>
      <c r="E18" s="154"/>
      <c r="F18" s="154"/>
      <c r="G18" s="154"/>
      <c r="H18" s="154" t="str">
        <f t="shared" ref="H18:H71" si="2">IF(OR(E18="NA",F18="NA",G18="NA"),"NA",IF(AND(E18="",F18="",G18=""),"",SUM(E18:G18)))</f>
        <v/>
      </c>
      <c r="I18" s="154"/>
      <c r="J18" s="154"/>
      <c r="K18" s="154"/>
      <c r="L18" s="154"/>
      <c r="M18" s="154" t="str">
        <f t="shared" ref="M18:M71" si="3">IF(OR(H18="NA",I18="NA",J18="NA",K18="NA",L18="NA"),"NA",IF(AND(H18="",I18="",J18="",K18="",L18=""),"",SUM(H18:L18)))</f>
        <v/>
      </c>
      <c r="N18" s="154"/>
      <c r="O18" s="546"/>
      <c r="P18" s="237">
        <f t="shared" si="0"/>
        <v>0</v>
      </c>
      <c r="Q18" s="238">
        <f t="shared" si="1"/>
        <v>0</v>
      </c>
    </row>
    <row r="19" spans="1:17" ht="10.9" customHeight="1" x14ac:dyDescent="0.25">
      <c r="A19" s="143" t="s">
        <v>2145</v>
      </c>
      <c r="B19" s="641" t="s">
        <v>499</v>
      </c>
      <c r="C19" s="550" t="s">
        <v>3227</v>
      </c>
      <c r="D19" s="532" t="s">
        <v>48</v>
      </c>
      <c r="E19" s="89"/>
      <c r="F19" s="89"/>
      <c r="G19" s="89"/>
      <c r="H19" s="89" t="str">
        <f t="shared" si="2"/>
        <v/>
      </c>
      <c r="I19" s="89"/>
      <c r="J19" s="89"/>
      <c r="K19" s="89"/>
      <c r="L19" s="89"/>
      <c r="M19" s="89" t="str">
        <f t="shared" si="3"/>
        <v/>
      </c>
      <c r="N19" s="89"/>
      <c r="O19" s="546"/>
      <c r="P19" s="178">
        <f t="shared" si="0"/>
        <v>0</v>
      </c>
      <c r="Q19" s="179">
        <f t="shared" si="1"/>
        <v>0</v>
      </c>
    </row>
    <row r="20" spans="1:17" ht="10.9" customHeight="1" x14ac:dyDescent="0.25">
      <c r="A20" s="143" t="s">
        <v>2146</v>
      </c>
      <c r="B20" s="642" t="s">
        <v>500</v>
      </c>
      <c r="C20" s="552" t="s">
        <v>3228</v>
      </c>
      <c r="D20" s="553" t="s">
        <v>48</v>
      </c>
      <c r="E20" s="148"/>
      <c r="F20" s="148"/>
      <c r="G20" s="473">
        <v>0</v>
      </c>
      <c r="H20" s="152" t="str">
        <f>IF(OR(E20="NA",F20="NA"),"NA",IF(AND(E20="",F20=""),"",SUM(E20:G20)))</f>
        <v/>
      </c>
      <c r="I20" s="148"/>
      <c r="J20" s="148"/>
      <c r="K20" s="148"/>
      <c r="L20" s="473">
        <v>0</v>
      </c>
      <c r="M20" s="148" t="str">
        <f>IF(OR(H20="NA",I20="NA",J20="NA",K20="NA"),"NA",IF(AND(H20="",I20="",J20="",K20=""),"",SUM(H20:L20)))</f>
        <v/>
      </c>
      <c r="N20" s="148"/>
      <c r="O20" s="546"/>
      <c r="P20" s="181">
        <f t="shared" si="0"/>
        <v>0</v>
      </c>
      <c r="Q20" s="182">
        <f t="shared" si="1"/>
        <v>0</v>
      </c>
    </row>
    <row r="21" spans="1:17" ht="10.9" customHeight="1" x14ac:dyDescent="0.25">
      <c r="A21" s="143" t="s">
        <v>2147</v>
      </c>
      <c r="B21" s="641" t="s">
        <v>501</v>
      </c>
      <c r="C21" s="550" t="s">
        <v>3229</v>
      </c>
      <c r="D21" s="532" t="s">
        <v>48</v>
      </c>
      <c r="E21" s="89"/>
      <c r="F21" s="89"/>
      <c r="G21" s="89"/>
      <c r="H21" s="89" t="str">
        <f t="shared" si="2"/>
        <v/>
      </c>
      <c r="I21" s="89"/>
      <c r="J21" s="89"/>
      <c r="K21" s="89"/>
      <c r="L21" s="89"/>
      <c r="M21" s="89" t="str">
        <f t="shared" si="3"/>
        <v/>
      </c>
      <c r="N21" s="89"/>
      <c r="O21" s="546"/>
      <c r="P21" s="178">
        <f t="shared" si="0"/>
        <v>0</v>
      </c>
      <c r="Q21" s="179">
        <f t="shared" si="1"/>
        <v>0</v>
      </c>
    </row>
    <row r="22" spans="1:17" ht="10.9" customHeight="1" x14ac:dyDescent="0.25">
      <c r="A22" s="143" t="s">
        <v>2148</v>
      </c>
      <c r="B22" s="641" t="s">
        <v>502</v>
      </c>
      <c r="C22" s="550" t="s">
        <v>3230</v>
      </c>
      <c r="D22" s="532" t="s">
        <v>48</v>
      </c>
      <c r="E22" s="89"/>
      <c r="F22" s="89"/>
      <c r="G22" s="89"/>
      <c r="H22" s="89" t="str">
        <f t="shared" si="2"/>
        <v/>
      </c>
      <c r="I22" s="89"/>
      <c r="J22" s="89"/>
      <c r="K22" s="89"/>
      <c r="L22" s="89"/>
      <c r="M22" s="89" t="str">
        <f t="shared" si="3"/>
        <v/>
      </c>
      <c r="N22" s="89"/>
      <c r="O22" s="546"/>
      <c r="P22" s="178">
        <f t="shared" si="0"/>
        <v>0</v>
      </c>
      <c r="Q22" s="179">
        <f t="shared" si="1"/>
        <v>0</v>
      </c>
    </row>
    <row r="23" spans="1:17" ht="10.9" customHeight="1" x14ac:dyDescent="0.25">
      <c r="A23" s="143" t="s">
        <v>2149</v>
      </c>
      <c r="B23" s="642" t="s">
        <v>503</v>
      </c>
      <c r="C23" s="552" t="s">
        <v>3231</v>
      </c>
      <c r="D23" s="553" t="s">
        <v>48</v>
      </c>
      <c r="E23" s="148"/>
      <c r="F23" s="148"/>
      <c r="G23" s="148"/>
      <c r="H23" s="148" t="str">
        <f t="shared" si="2"/>
        <v/>
      </c>
      <c r="I23" s="148"/>
      <c r="J23" s="148"/>
      <c r="K23" s="148"/>
      <c r="L23" s="148"/>
      <c r="M23" s="148" t="str">
        <f t="shared" si="3"/>
        <v/>
      </c>
      <c r="N23" s="148"/>
      <c r="O23" s="546"/>
      <c r="P23" s="181">
        <f t="shared" si="0"/>
        <v>0</v>
      </c>
      <c r="Q23" s="182">
        <f t="shared" si="1"/>
        <v>0</v>
      </c>
    </row>
    <row r="24" spans="1:17" ht="10.9" customHeight="1" x14ac:dyDescent="0.25">
      <c r="A24" s="143" t="s">
        <v>2424</v>
      </c>
      <c r="B24" s="641" t="s">
        <v>504</v>
      </c>
      <c r="C24" s="550" t="s">
        <v>3237</v>
      </c>
      <c r="D24" s="532" t="s">
        <v>48</v>
      </c>
      <c r="E24" s="89"/>
      <c r="F24" s="89"/>
      <c r="G24" s="89"/>
      <c r="H24" s="89" t="str">
        <f t="shared" si="2"/>
        <v/>
      </c>
      <c r="I24" s="89"/>
      <c r="J24" s="89"/>
      <c r="K24" s="89"/>
      <c r="L24" s="89"/>
      <c r="M24" s="89" t="str">
        <f t="shared" si="3"/>
        <v/>
      </c>
      <c r="N24" s="89"/>
      <c r="O24" s="546"/>
      <c r="P24" s="178">
        <f t="shared" si="0"/>
        <v>0</v>
      </c>
      <c r="Q24" s="179">
        <f t="shared" si="1"/>
        <v>0</v>
      </c>
    </row>
    <row r="25" spans="1:17" ht="10.9" customHeight="1" x14ac:dyDescent="0.25">
      <c r="A25" s="143" t="s">
        <v>2150</v>
      </c>
      <c r="B25" s="642" t="s">
        <v>505</v>
      </c>
      <c r="C25" s="552" t="s">
        <v>3238</v>
      </c>
      <c r="D25" s="553" t="s">
        <v>48</v>
      </c>
      <c r="E25" s="152"/>
      <c r="F25" s="152"/>
      <c r="G25" s="148"/>
      <c r="H25" s="148" t="str">
        <f t="shared" si="2"/>
        <v/>
      </c>
      <c r="I25" s="148"/>
      <c r="J25" s="148"/>
      <c r="K25" s="148"/>
      <c r="L25" s="148"/>
      <c r="M25" s="152" t="str">
        <f t="shared" si="3"/>
        <v/>
      </c>
      <c r="N25" s="152"/>
      <c r="O25" s="546"/>
      <c r="P25" s="181">
        <f t="shared" si="0"/>
        <v>0</v>
      </c>
      <c r="Q25" s="182">
        <f t="shared" si="1"/>
        <v>0</v>
      </c>
    </row>
    <row r="26" spans="1:17" ht="10.9" customHeight="1" x14ac:dyDescent="0.25">
      <c r="A26" s="143" t="s">
        <v>2151</v>
      </c>
      <c r="B26" s="641" t="s">
        <v>506</v>
      </c>
      <c r="C26" s="550" t="s">
        <v>3234</v>
      </c>
      <c r="D26" s="532" t="s">
        <v>48</v>
      </c>
      <c r="E26" s="92"/>
      <c r="F26" s="92"/>
      <c r="G26" s="89"/>
      <c r="H26" s="89" t="str">
        <f t="shared" si="2"/>
        <v/>
      </c>
      <c r="I26" s="89"/>
      <c r="J26" s="89"/>
      <c r="K26" s="89"/>
      <c r="L26" s="89"/>
      <c r="M26" s="92" t="str">
        <f t="shared" si="3"/>
        <v/>
      </c>
      <c r="N26" s="92"/>
      <c r="O26" s="546"/>
      <c r="P26" s="178">
        <f t="shared" si="0"/>
        <v>0</v>
      </c>
      <c r="Q26" s="179">
        <f t="shared" si="1"/>
        <v>0</v>
      </c>
    </row>
    <row r="27" spans="1:17" ht="10.9" customHeight="1" x14ac:dyDescent="0.25">
      <c r="A27" s="143" t="s">
        <v>2152</v>
      </c>
      <c r="B27" s="643" t="s">
        <v>507</v>
      </c>
      <c r="C27" s="563" t="s">
        <v>3235</v>
      </c>
      <c r="D27" s="537" t="s">
        <v>48</v>
      </c>
      <c r="E27" s="153"/>
      <c r="F27" s="153"/>
      <c r="G27" s="146"/>
      <c r="H27" s="146" t="str">
        <f t="shared" si="2"/>
        <v/>
      </c>
      <c r="I27" s="146"/>
      <c r="J27" s="146"/>
      <c r="K27" s="146"/>
      <c r="L27" s="146"/>
      <c r="M27" s="153" t="str">
        <f t="shared" si="3"/>
        <v/>
      </c>
      <c r="N27" s="153"/>
      <c r="O27" s="546"/>
      <c r="P27" s="188">
        <f t="shared" si="0"/>
        <v>0</v>
      </c>
      <c r="Q27" s="189">
        <f t="shared" si="1"/>
        <v>0</v>
      </c>
    </row>
    <row r="28" spans="1:17" ht="15" customHeight="1" x14ac:dyDescent="0.25">
      <c r="A28" s="143" t="s">
        <v>2153</v>
      </c>
      <c r="B28" s="594" t="s">
        <v>508</v>
      </c>
      <c r="C28" s="585" t="s">
        <v>3248</v>
      </c>
      <c r="D28" s="640" t="s">
        <v>48</v>
      </c>
      <c r="E28" s="151"/>
      <c r="F28" s="151"/>
      <c r="G28" s="154"/>
      <c r="H28" s="154" t="str">
        <f t="shared" si="2"/>
        <v/>
      </c>
      <c r="I28" s="154"/>
      <c r="J28" s="154"/>
      <c r="K28" s="154"/>
      <c r="L28" s="154"/>
      <c r="M28" s="151" t="str">
        <f t="shared" si="3"/>
        <v/>
      </c>
      <c r="N28" s="151"/>
      <c r="O28" s="546"/>
      <c r="P28" s="237">
        <f t="shared" si="0"/>
        <v>0</v>
      </c>
      <c r="Q28" s="238">
        <f t="shared" si="1"/>
        <v>0</v>
      </c>
    </row>
    <row r="29" spans="1:17" ht="10.9" customHeight="1" x14ac:dyDescent="0.25">
      <c r="A29" s="143" t="s">
        <v>2154</v>
      </c>
      <c r="B29" s="641" t="s">
        <v>509</v>
      </c>
      <c r="C29" s="550" t="s">
        <v>3227</v>
      </c>
      <c r="D29" s="532" t="s">
        <v>48</v>
      </c>
      <c r="E29" s="92"/>
      <c r="F29" s="92"/>
      <c r="G29" s="89"/>
      <c r="H29" s="89" t="str">
        <f t="shared" si="2"/>
        <v/>
      </c>
      <c r="I29" s="89"/>
      <c r="J29" s="89"/>
      <c r="K29" s="89"/>
      <c r="L29" s="89"/>
      <c r="M29" s="92" t="str">
        <f t="shared" si="3"/>
        <v/>
      </c>
      <c r="N29" s="92"/>
      <c r="O29" s="546"/>
      <c r="P29" s="178">
        <f t="shared" si="0"/>
        <v>0</v>
      </c>
      <c r="Q29" s="179">
        <f t="shared" si="1"/>
        <v>0</v>
      </c>
    </row>
    <row r="30" spans="1:17" ht="10.9" customHeight="1" x14ac:dyDescent="0.25">
      <c r="A30" s="143" t="s">
        <v>2155</v>
      </c>
      <c r="B30" s="642" t="s">
        <v>510</v>
      </c>
      <c r="C30" s="552" t="s">
        <v>3228</v>
      </c>
      <c r="D30" s="553" t="s">
        <v>48</v>
      </c>
      <c r="E30" s="152"/>
      <c r="F30" s="152"/>
      <c r="G30" s="473">
        <v>0</v>
      </c>
      <c r="H30" s="152" t="str">
        <f>IF(OR(E30="NA",F30="NA"),"NA",IF(AND(E30="",F30=""),"",SUM(E30:G30)))</f>
        <v/>
      </c>
      <c r="I30" s="148"/>
      <c r="J30" s="148"/>
      <c r="K30" s="148"/>
      <c r="L30" s="473">
        <v>0</v>
      </c>
      <c r="M30" s="148" t="str">
        <f>IF(OR(H30="NA",I30="NA",J30="NA",K30="NA"),"NA",IF(AND(H30="",I30="",J30="",K30=""),"",SUM(H30:L30)))</f>
        <v/>
      </c>
      <c r="N30" s="152"/>
      <c r="O30" s="546"/>
      <c r="P30" s="181">
        <f t="shared" si="0"/>
        <v>0</v>
      </c>
      <c r="Q30" s="182">
        <f t="shared" si="1"/>
        <v>0</v>
      </c>
    </row>
    <row r="31" spans="1:17" ht="10.9" customHeight="1" x14ac:dyDescent="0.25">
      <c r="A31" s="143" t="s">
        <v>2156</v>
      </c>
      <c r="B31" s="641" t="s">
        <v>511</v>
      </c>
      <c r="C31" s="550" t="s">
        <v>3229</v>
      </c>
      <c r="D31" s="532" t="s">
        <v>48</v>
      </c>
      <c r="E31" s="92"/>
      <c r="F31" s="92"/>
      <c r="G31" s="92"/>
      <c r="H31" s="92" t="str">
        <f t="shared" si="2"/>
        <v/>
      </c>
      <c r="I31" s="92"/>
      <c r="J31" s="92"/>
      <c r="K31" s="92"/>
      <c r="L31" s="92"/>
      <c r="M31" s="92" t="str">
        <f t="shared" si="3"/>
        <v/>
      </c>
      <c r="N31" s="92"/>
      <c r="O31" s="546"/>
      <c r="P31" s="178">
        <f t="shared" si="0"/>
        <v>0</v>
      </c>
      <c r="Q31" s="179">
        <f t="shared" si="1"/>
        <v>0</v>
      </c>
    </row>
    <row r="32" spans="1:17" ht="10.9" customHeight="1" x14ac:dyDescent="0.25">
      <c r="A32" s="143" t="s">
        <v>2157</v>
      </c>
      <c r="B32" s="644" t="s">
        <v>704</v>
      </c>
      <c r="C32" s="645" t="s">
        <v>3249</v>
      </c>
      <c r="D32" s="646" t="s">
        <v>48</v>
      </c>
      <c r="E32" s="155"/>
      <c r="F32" s="155"/>
      <c r="G32" s="155"/>
      <c r="H32" s="155" t="str">
        <f t="shared" si="2"/>
        <v/>
      </c>
      <c r="I32" s="155"/>
      <c r="J32" s="155"/>
      <c r="K32" s="155"/>
      <c r="L32" s="155"/>
      <c r="M32" s="155" t="str">
        <f t="shared" si="3"/>
        <v/>
      </c>
      <c r="N32" s="155"/>
      <c r="O32" s="546"/>
      <c r="P32" s="178">
        <f t="shared" si="0"/>
        <v>0</v>
      </c>
      <c r="Q32" s="179">
        <f t="shared" si="1"/>
        <v>0</v>
      </c>
    </row>
    <row r="33" spans="1:17" ht="10.9" customHeight="1" x14ac:dyDescent="0.25">
      <c r="A33" s="143" t="s">
        <v>2158</v>
      </c>
      <c r="B33" s="641" t="s">
        <v>512</v>
      </c>
      <c r="C33" s="550" t="s">
        <v>3241</v>
      </c>
      <c r="D33" s="532" t="s">
        <v>48</v>
      </c>
      <c r="E33" s="92"/>
      <c r="F33" s="92"/>
      <c r="G33" s="92"/>
      <c r="H33" s="92" t="str">
        <f t="shared" si="2"/>
        <v/>
      </c>
      <c r="I33" s="92"/>
      <c r="J33" s="92"/>
      <c r="K33" s="92"/>
      <c r="L33" s="92"/>
      <c r="M33" s="92" t="str">
        <f t="shared" si="3"/>
        <v/>
      </c>
      <c r="N33" s="92"/>
      <c r="O33" s="546"/>
      <c r="P33" s="178">
        <f t="shared" si="0"/>
        <v>0</v>
      </c>
      <c r="Q33" s="179">
        <f t="shared" si="1"/>
        <v>0</v>
      </c>
    </row>
    <row r="34" spans="1:17" ht="10.9" customHeight="1" x14ac:dyDescent="0.25">
      <c r="A34" s="143" t="s">
        <v>2159</v>
      </c>
      <c r="B34" s="644" t="s">
        <v>705</v>
      </c>
      <c r="C34" s="645" t="s">
        <v>3249</v>
      </c>
      <c r="D34" s="646" t="s">
        <v>48</v>
      </c>
      <c r="E34" s="155"/>
      <c r="F34" s="155"/>
      <c r="G34" s="155"/>
      <c r="H34" s="155" t="str">
        <f t="shared" si="2"/>
        <v/>
      </c>
      <c r="I34" s="155"/>
      <c r="J34" s="155"/>
      <c r="K34" s="155"/>
      <c r="L34" s="155"/>
      <c r="M34" s="155" t="str">
        <f t="shared" si="3"/>
        <v/>
      </c>
      <c r="N34" s="155"/>
      <c r="O34" s="546"/>
      <c r="P34" s="178">
        <f t="shared" si="0"/>
        <v>0</v>
      </c>
      <c r="Q34" s="179">
        <f t="shared" si="1"/>
        <v>0</v>
      </c>
    </row>
    <row r="35" spans="1:17" ht="10.9" customHeight="1" x14ac:dyDescent="0.25">
      <c r="A35" s="143" t="s">
        <v>2160</v>
      </c>
      <c r="B35" s="642" t="s">
        <v>513</v>
      </c>
      <c r="C35" s="552" t="s">
        <v>3242</v>
      </c>
      <c r="D35" s="553" t="s">
        <v>48</v>
      </c>
      <c r="E35" s="152"/>
      <c r="F35" s="152"/>
      <c r="G35" s="152"/>
      <c r="H35" s="152" t="str">
        <f t="shared" si="2"/>
        <v/>
      </c>
      <c r="I35" s="152"/>
      <c r="J35" s="152"/>
      <c r="K35" s="152"/>
      <c r="L35" s="152"/>
      <c r="M35" s="152" t="str">
        <f t="shared" si="3"/>
        <v/>
      </c>
      <c r="N35" s="152"/>
      <c r="O35" s="546"/>
      <c r="P35" s="181">
        <f t="shared" si="0"/>
        <v>0</v>
      </c>
      <c r="Q35" s="182">
        <f t="shared" si="1"/>
        <v>0</v>
      </c>
    </row>
    <row r="36" spans="1:17" ht="10.9" customHeight="1" x14ac:dyDescent="0.25">
      <c r="A36" s="143" t="s">
        <v>2425</v>
      </c>
      <c r="B36" s="641" t="s">
        <v>514</v>
      </c>
      <c r="C36" s="550" t="s">
        <v>3232</v>
      </c>
      <c r="D36" s="532" t="s">
        <v>48</v>
      </c>
      <c r="E36" s="92"/>
      <c r="F36" s="92"/>
      <c r="G36" s="92"/>
      <c r="H36" s="92" t="str">
        <f t="shared" si="2"/>
        <v/>
      </c>
      <c r="I36" s="92"/>
      <c r="J36" s="92"/>
      <c r="K36" s="92"/>
      <c r="L36" s="92"/>
      <c r="M36" s="92" t="str">
        <f t="shared" si="3"/>
        <v/>
      </c>
      <c r="N36" s="92"/>
      <c r="O36" s="546"/>
      <c r="P36" s="178">
        <f t="shared" si="0"/>
        <v>0</v>
      </c>
      <c r="Q36" s="179">
        <f t="shared" si="1"/>
        <v>0</v>
      </c>
    </row>
    <row r="37" spans="1:17" ht="10.9" customHeight="1" x14ac:dyDescent="0.25">
      <c r="A37" s="143" t="s">
        <v>2161</v>
      </c>
      <c r="B37" s="642" t="s">
        <v>515</v>
      </c>
      <c r="C37" s="552" t="s">
        <v>3233</v>
      </c>
      <c r="D37" s="553" t="s">
        <v>48</v>
      </c>
      <c r="E37" s="152"/>
      <c r="F37" s="152"/>
      <c r="G37" s="152"/>
      <c r="H37" s="152" t="str">
        <f t="shared" si="2"/>
        <v/>
      </c>
      <c r="I37" s="152"/>
      <c r="J37" s="152"/>
      <c r="K37" s="152"/>
      <c r="L37" s="152"/>
      <c r="M37" s="152" t="str">
        <f t="shared" si="3"/>
        <v/>
      </c>
      <c r="N37" s="152"/>
      <c r="O37" s="546"/>
      <c r="P37" s="181">
        <f t="shared" si="0"/>
        <v>0</v>
      </c>
      <c r="Q37" s="182">
        <f t="shared" si="1"/>
        <v>0</v>
      </c>
    </row>
    <row r="38" spans="1:17" ht="10.9" customHeight="1" x14ac:dyDescent="0.25">
      <c r="A38" s="143" t="s">
        <v>2162</v>
      </c>
      <c r="B38" s="641" t="s">
        <v>516</v>
      </c>
      <c r="C38" s="550" t="s">
        <v>3234</v>
      </c>
      <c r="D38" s="532" t="s">
        <v>48</v>
      </c>
      <c r="E38" s="92"/>
      <c r="F38" s="92"/>
      <c r="G38" s="92"/>
      <c r="H38" s="92" t="str">
        <f t="shared" si="2"/>
        <v/>
      </c>
      <c r="I38" s="92"/>
      <c r="J38" s="92"/>
      <c r="K38" s="92"/>
      <c r="L38" s="92"/>
      <c r="M38" s="92" t="str">
        <f t="shared" si="3"/>
        <v/>
      </c>
      <c r="N38" s="92"/>
      <c r="O38" s="546"/>
      <c r="P38" s="178">
        <f t="shared" si="0"/>
        <v>0</v>
      </c>
      <c r="Q38" s="179">
        <f t="shared" si="1"/>
        <v>0</v>
      </c>
    </row>
    <row r="39" spans="1:17" ht="10.9" customHeight="1" x14ac:dyDescent="0.25">
      <c r="A39" s="143" t="s">
        <v>2163</v>
      </c>
      <c r="B39" s="643" t="s">
        <v>517</v>
      </c>
      <c r="C39" s="563" t="s">
        <v>3235</v>
      </c>
      <c r="D39" s="537" t="s">
        <v>48</v>
      </c>
      <c r="E39" s="153"/>
      <c r="F39" s="153"/>
      <c r="G39" s="153"/>
      <c r="H39" s="153" t="str">
        <f t="shared" si="2"/>
        <v/>
      </c>
      <c r="I39" s="153"/>
      <c r="J39" s="153"/>
      <c r="K39" s="153"/>
      <c r="L39" s="153"/>
      <c r="M39" s="153" t="str">
        <f t="shared" si="3"/>
        <v/>
      </c>
      <c r="N39" s="153"/>
      <c r="O39" s="546"/>
      <c r="P39" s="188">
        <f t="shared" si="0"/>
        <v>0</v>
      </c>
      <c r="Q39" s="189">
        <f t="shared" si="1"/>
        <v>0</v>
      </c>
    </row>
    <row r="40" spans="1:17" ht="15" customHeight="1" x14ac:dyDescent="0.25">
      <c r="A40" s="143" t="s">
        <v>2164</v>
      </c>
      <c r="B40" s="594" t="s">
        <v>518</v>
      </c>
      <c r="C40" s="585" t="s">
        <v>3030</v>
      </c>
      <c r="D40" s="640" t="s">
        <v>48</v>
      </c>
      <c r="E40" s="151"/>
      <c r="F40" s="151"/>
      <c r="G40" s="151"/>
      <c r="H40" s="151" t="str">
        <f t="shared" si="2"/>
        <v/>
      </c>
      <c r="I40" s="151"/>
      <c r="J40" s="151"/>
      <c r="K40" s="151"/>
      <c r="L40" s="151"/>
      <c r="M40" s="151" t="str">
        <f t="shared" si="3"/>
        <v/>
      </c>
      <c r="N40" s="151"/>
      <c r="O40" s="546"/>
      <c r="P40" s="237">
        <f t="shared" ref="P40:P71" si="4">IF(OR(H40="NA",E40="NA",F40="NA",G40="NA"),"NA",SUM(H40)-SUM(E40:G40))</f>
        <v>0</v>
      </c>
      <c r="Q40" s="238">
        <f t="shared" ref="Q40:Q71" si="5">IF(OR(M40="NA",H40="NA",I40="NA",J40="NA",K40="NA",L40="NA"),"NA",SUM(M40)-SUM(H40:L40))</f>
        <v>0</v>
      </c>
    </row>
    <row r="41" spans="1:17" ht="10.9" customHeight="1" x14ac:dyDescent="0.25">
      <c r="A41" s="143" t="s">
        <v>2165</v>
      </c>
      <c r="B41" s="641" t="s">
        <v>519</v>
      </c>
      <c r="C41" s="550" t="s">
        <v>3227</v>
      </c>
      <c r="D41" s="532" t="s">
        <v>48</v>
      </c>
      <c r="E41" s="92"/>
      <c r="F41" s="92"/>
      <c r="G41" s="92"/>
      <c r="H41" s="92" t="str">
        <f t="shared" si="2"/>
        <v/>
      </c>
      <c r="I41" s="92"/>
      <c r="J41" s="92"/>
      <c r="K41" s="92"/>
      <c r="L41" s="92"/>
      <c r="M41" s="92" t="str">
        <f t="shared" si="3"/>
        <v/>
      </c>
      <c r="N41" s="92"/>
      <c r="O41" s="546"/>
      <c r="P41" s="178">
        <f t="shared" si="4"/>
        <v>0</v>
      </c>
      <c r="Q41" s="179">
        <f t="shared" si="5"/>
        <v>0</v>
      </c>
    </row>
    <row r="42" spans="1:17" ht="10.9" customHeight="1" x14ac:dyDescent="0.25">
      <c r="A42" s="143" t="s">
        <v>2166</v>
      </c>
      <c r="B42" s="642" t="s">
        <v>520</v>
      </c>
      <c r="C42" s="552" t="s">
        <v>3228</v>
      </c>
      <c r="D42" s="553" t="s">
        <v>48</v>
      </c>
      <c r="E42" s="152"/>
      <c r="F42" s="152"/>
      <c r="G42" s="473">
        <v>0</v>
      </c>
      <c r="H42" s="152" t="str">
        <f>IF(OR(E42="NA",F42="NA"),"NA",IF(AND(E42="",F42=""),"",SUM(E42:G42)))</f>
        <v/>
      </c>
      <c r="I42" s="152"/>
      <c r="J42" s="152"/>
      <c r="K42" s="152"/>
      <c r="L42" s="473">
        <v>0</v>
      </c>
      <c r="M42" s="148" t="str">
        <f>IF(OR(H42="NA",I42="NA",J42="NA",K42="NA"),"NA",IF(AND(H42="",I42="",J42="",K42=""),"",SUM(H42:L42)))</f>
        <v/>
      </c>
      <c r="N42" s="152"/>
      <c r="O42" s="546"/>
      <c r="P42" s="181">
        <f t="shared" si="4"/>
        <v>0</v>
      </c>
      <c r="Q42" s="182">
        <f t="shared" si="5"/>
        <v>0</v>
      </c>
    </row>
    <row r="43" spans="1:17" ht="10.9" customHeight="1" x14ac:dyDescent="0.25">
      <c r="A43" s="143" t="s">
        <v>2167</v>
      </c>
      <c r="B43" s="641" t="s">
        <v>521</v>
      </c>
      <c r="C43" s="550" t="s">
        <v>3229</v>
      </c>
      <c r="D43" s="532" t="s">
        <v>48</v>
      </c>
      <c r="E43" s="92"/>
      <c r="F43" s="92"/>
      <c r="G43" s="92"/>
      <c r="H43" s="92" t="str">
        <f t="shared" si="2"/>
        <v/>
      </c>
      <c r="I43" s="92"/>
      <c r="J43" s="92"/>
      <c r="K43" s="92"/>
      <c r="L43" s="92"/>
      <c r="M43" s="92" t="str">
        <f t="shared" si="3"/>
        <v/>
      </c>
      <c r="N43" s="92"/>
      <c r="O43" s="546"/>
      <c r="P43" s="178">
        <f t="shared" si="4"/>
        <v>0</v>
      </c>
      <c r="Q43" s="179">
        <f t="shared" si="5"/>
        <v>0</v>
      </c>
    </row>
    <row r="44" spans="1:17" ht="10.9" customHeight="1" x14ac:dyDescent="0.25">
      <c r="A44" s="143" t="s">
        <v>2168</v>
      </c>
      <c r="B44" s="644" t="s">
        <v>706</v>
      </c>
      <c r="C44" s="645" t="s">
        <v>3249</v>
      </c>
      <c r="D44" s="646" t="s">
        <v>48</v>
      </c>
      <c r="E44" s="155"/>
      <c r="F44" s="155"/>
      <c r="G44" s="155"/>
      <c r="H44" s="155" t="str">
        <f t="shared" si="2"/>
        <v/>
      </c>
      <c r="I44" s="155"/>
      <c r="J44" s="155"/>
      <c r="K44" s="155"/>
      <c r="L44" s="155"/>
      <c r="M44" s="155" t="str">
        <f t="shared" si="3"/>
        <v/>
      </c>
      <c r="N44" s="155"/>
      <c r="O44" s="546"/>
      <c r="P44" s="178">
        <f t="shared" si="4"/>
        <v>0</v>
      </c>
      <c r="Q44" s="179">
        <f t="shared" si="5"/>
        <v>0</v>
      </c>
    </row>
    <row r="45" spans="1:17" ht="10.9" customHeight="1" x14ac:dyDescent="0.25">
      <c r="A45" s="143" t="s">
        <v>2169</v>
      </c>
      <c r="B45" s="641" t="s">
        <v>522</v>
      </c>
      <c r="C45" s="550" t="s">
        <v>3241</v>
      </c>
      <c r="D45" s="532" t="s">
        <v>48</v>
      </c>
      <c r="E45" s="92"/>
      <c r="F45" s="92"/>
      <c r="G45" s="92"/>
      <c r="H45" s="92" t="str">
        <f t="shared" si="2"/>
        <v/>
      </c>
      <c r="I45" s="92"/>
      <c r="J45" s="92"/>
      <c r="K45" s="92"/>
      <c r="L45" s="92"/>
      <c r="M45" s="92" t="str">
        <f t="shared" si="3"/>
        <v/>
      </c>
      <c r="N45" s="92"/>
      <c r="O45" s="546"/>
      <c r="P45" s="178">
        <f t="shared" si="4"/>
        <v>0</v>
      </c>
      <c r="Q45" s="179">
        <f t="shared" si="5"/>
        <v>0</v>
      </c>
    </row>
    <row r="46" spans="1:17" ht="10.9" customHeight="1" x14ac:dyDescent="0.25">
      <c r="A46" s="143" t="s">
        <v>2170</v>
      </c>
      <c r="B46" s="644" t="s">
        <v>707</v>
      </c>
      <c r="C46" s="645" t="s">
        <v>3249</v>
      </c>
      <c r="D46" s="646" t="s">
        <v>48</v>
      </c>
      <c r="E46" s="155"/>
      <c r="F46" s="155"/>
      <c r="G46" s="155"/>
      <c r="H46" s="155" t="str">
        <f t="shared" si="2"/>
        <v/>
      </c>
      <c r="I46" s="155"/>
      <c r="J46" s="155"/>
      <c r="K46" s="155"/>
      <c r="L46" s="155"/>
      <c r="M46" s="155" t="str">
        <f t="shared" si="3"/>
        <v/>
      </c>
      <c r="N46" s="155"/>
      <c r="O46" s="546"/>
      <c r="P46" s="178">
        <f t="shared" si="4"/>
        <v>0</v>
      </c>
      <c r="Q46" s="179">
        <f t="shared" si="5"/>
        <v>0</v>
      </c>
    </row>
    <row r="47" spans="1:17" ht="10.9" customHeight="1" x14ac:dyDescent="0.25">
      <c r="A47" s="143" t="s">
        <v>2171</v>
      </c>
      <c r="B47" s="642" t="s">
        <v>523</v>
      </c>
      <c r="C47" s="552" t="s">
        <v>3242</v>
      </c>
      <c r="D47" s="553" t="s">
        <v>48</v>
      </c>
      <c r="E47" s="152"/>
      <c r="F47" s="152"/>
      <c r="G47" s="152"/>
      <c r="H47" s="152" t="str">
        <f t="shared" si="2"/>
        <v/>
      </c>
      <c r="I47" s="152"/>
      <c r="J47" s="152"/>
      <c r="K47" s="152"/>
      <c r="L47" s="152"/>
      <c r="M47" s="152" t="str">
        <f t="shared" si="3"/>
        <v/>
      </c>
      <c r="N47" s="152"/>
      <c r="O47" s="546"/>
      <c r="P47" s="181">
        <f t="shared" si="4"/>
        <v>0</v>
      </c>
      <c r="Q47" s="182">
        <f t="shared" si="5"/>
        <v>0</v>
      </c>
    </row>
    <row r="48" spans="1:17" ht="10.9" customHeight="1" x14ac:dyDescent="0.25">
      <c r="A48" s="143" t="s">
        <v>2426</v>
      </c>
      <c r="B48" s="641" t="s">
        <v>524</v>
      </c>
      <c r="C48" s="550" t="s">
        <v>3232</v>
      </c>
      <c r="D48" s="532" t="s">
        <v>48</v>
      </c>
      <c r="E48" s="92"/>
      <c r="F48" s="92"/>
      <c r="G48" s="92"/>
      <c r="H48" s="92" t="str">
        <f t="shared" si="2"/>
        <v/>
      </c>
      <c r="I48" s="92"/>
      <c r="J48" s="92"/>
      <c r="K48" s="92"/>
      <c r="L48" s="92"/>
      <c r="M48" s="92" t="str">
        <f t="shared" si="3"/>
        <v/>
      </c>
      <c r="N48" s="92"/>
      <c r="O48" s="546"/>
      <c r="P48" s="178">
        <f t="shared" si="4"/>
        <v>0</v>
      </c>
      <c r="Q48" s="179">
        <f t="shared" si="5"/>
        <v>0</v>
      </c>
    </row>
    <row r="49" spans="1:17" ht="10.9" customHeight="1" x14ac:dyDescent="0.25">
      <c r="A49" s="143" t="s">
        <v>2172</v>
      </c>
      <c r="B49" s="642" t="s">
        <v>525</v>
      </c>
      <c r="C49" s="552" t="s">
        <v>3233</v>
      </c>
      <c r="D49" s="553" t="s">
        <v>48</v>
      </c>
      <c r="E49" s="152"/>
      <c r="F49" s="152"/>
      <c r="G49" s="152"/>
      <c r="H49" s="152" t="str">
        <f t="shared" si="2"/>
        <v/>
      </c>
      <c r="I49" s="152"/>
      <c r="J49" s="152"/>
      <c r="K49" s="152"/>
      <c r="L49" s="152"/>
      <c r="M49" s="152" t="str">
        <f t="shared" si="3"/>
        <v/>
      </c>
      <c r="N49" s="152"/>
      <c r="O49" s="546"/>
      <c r="P49" s="181">
        <f t="shared" si="4"/>
        <v>0</v>
      </c>
      <c r="Q49" s="182">
        <f t="shared" si="5"/>
        <v>0</v>
      </c>
    </row>
    <row r="50" spans="1:17" ht="10.9" customHeight="1" x14ac:dyDescent="0.25">
      <c r="A50" s="143" t="s">
        <v>2173</v>
      </c>
      <c r="B50" s="641" t="s">
        <v>526</v>
      </c>
      <c r="C50" s="550" t="s">
        <v>3234</v>
      </c>
      <c r="D50" s="532" t="s">
        <v>48</v>
      </c>
      <c r="E50" s="92"/>
      <c r="F50" s="92"/>
      <c r="G50" s="92"/>
      <c r="H50" s="92" t="str">
        <f t="shared" si="2"/>
        <v/>
      </c>
      <c r="I50" s="92"/>
      <c r="J50" s="92"/>
      <c r="K50" s="92"/>
      <c r="L50" s="92"/>
      <c r="M50" s="92" t="str">
        <f t="shared" si="3"/>
        <v/>
      </c>
      <c r="N50" s="92"/>
      <c r="O50" s="546"/>
      <c r="P50" s="178">
        <f t="shared" si="4"/>
        <v>0</v>
      </c>
      <c r="Q50" s="179">
        <f t="shared" si="5"/>
        <v>0</v>
      </c>
    </row>
    <row r="51" spans="1:17" ht="10.9" customHeight="1" x14ac:dyDescent="0.25">
      <c r="A51" s="143" t="s">
        <v>2174</v>
      </c>
      <c r="B51" s="643" t="s">
        <v>527</v>
      </c>
      <c r="C51" s="563" t="s">
        <v>3235</v>
      </c>
      <c r="D51" s="537" t="s">
        <v>48</v>
      </c>
      <c r="E51" s="153"/>
      <c r="F51" s="153"/>
      <c r="G51" s="153"/>
      <c r="H51" s="153" t="str">
        <f t="shared" si="2"/>
        <v/>
      </c>
      <c r="I51" s="153"/>
      <c r="J51" s="153"/>
      <c r="K51" s="153"/>
      <c r="L51" s="153"/>
      <c r="M51" s="153" t="str">
        <f t="shared" si="3"/>
        <v/>
      </c>
      <c r="N51" s="153"/>
      <c r="O51" s="546"/>
      <c r="P51" s="188">
        <f t="shared" si="4"/>
        <v>0</v>
      </c>
      <c r="Q51" s="189">
        <f t="shared" si="5"/>
        <v>0</v>
      </c>
    </row>
    <row r="52" spans="1:17" ht="15" customHeight="1" x14ac:dyDescent="0.25">
      <c r="A52" s="143" t="s">
        <v>2175</v>
      </c>
      <c r="B52" s="594" t="s">
        <v>528</v>
      </c>
      <c r="C52" s="585" t="s">
        <v>3244</v>
      </c>
      <c r="D52" s="640" t="s">
        <v>48</v>
      </c>
      <c r="E52" s="151"/>
      <c r="F52" s="151"/>
      <c r="G52" s="151"/>
      <c r="H52" s="151" t="str">
        <f t="shared" si="2"/>
        <v/>
      </c>
      <c r="I52" s="151"/>
      <c r="J52" s="151"/>
      <c r="K52" s="151"/>
      <c r="L52" s="151"/>
      <c r="M52" s="151" t="str">
        <f t="shared" si="3"/>
        <v/>
      </c>
      <c r="N52" s="151"/>
      <c r="O52" s="546"/>
      <c r="P52" s="237">
        <f t="shared" si="4"/>
        <v>0</v>
      </c>
      <c r="Q52" s="238">
        <f t="shared" si="5"/>
        <v>0</v>
      </c>
    </row>
    <row r="53" spans="1:17" ht="10.9" customHeight="1" x14ac:dyDescent="0.25">
      <c r="A53" s="143" t="s">
        <v>2176</v>
      </c>
      <c r="B53" s="641" t="s">
        <v>529</v>
      </c>
      <c r="C53" s="550" t="s">
        <v>3227</v>
      </c>
      <c r="D53" s="532" t="s">
        <v>48</v>
      </c>
      <c r="E53" s="92"/>
      <c r="F53" s="92"/>
      <c r="G53" s="92"/>
      <c r="H53" s="92" t="str">
        <f t="shared" si="2"/>
        <v/>
      </c>
      <c r="I53" s="92"/>
      <c r="J53" s="92"/>
      <c r="K53" s="92"/>
      <c r="L53" s="92"/>
      <c r="M53" s="92" t="str">
        <f t="shared" si="3"/>
        <v/>
      </c>
      <c r="N53" s="92"/>
      <c r="O53" s="546"/>
      <c r="P53" s="178">
        <f t="shared" si="4"/>
        <v>0</v>
      </c>
      <c r="Q53" s="179">
        <f t="shared" si="5"/>
        <v>0</v>
      </c>
    </row>
    <row r="54" spans="1:17" ht="10.9" customHeight="1" x14ac:dyDescent="0.25">
      <c r="A54" s="143" t="s">
        <v>2177</v>
      </c>
      <c r="B54" s="642" t="s">
        <v>530</v>
      </c>
      <c r="C54" s="552" t="s">
        <v>3228</v>
      </c>
      <c r="D54" s="553" t="s">
        <v>48</v>
      </c>
      <c r="E54" s="152"/>
      <c r="F54" s="152"/>
      <c r="G54" s="473">
        <v>0</v>
      </c>
      <c r="H54" s="152" t="str">
        <f>IF(OR(E54="NA",F54="NA"),"NA",IF(AND(E54="",F54=""),"",SUM(E54:G54)))</f>
        <v/>
      </c>
      <c r="I54" s="152"/>
      <c r="J54" s="152"/>
      <c r="K54" s="152"/>
      <c r="L54" s="473">
        <v>0</v>
      </c>
      <c r="M54" s="148" t="str">
        <f>IF(OR(H54="NA",I54="NA",J54="NA",K54="NA"),"NA",IF(AND(H54="",I54="",J54="",K54=""),"",SUM(H54:L54)))</f>
        <v/>
      </c>
      <c r="N54" s="152"/>
      <c r="O54" s="546"/>
      <c r="P54" s="181">
        <f t="shared" si="4"/>
        <v>0</v>
      </c>
      <c r="Q54" s="182">
        <f t="shared" si="5"/>
        <v>0</v>
      </c>
    </row>
    <row r="55" spans="1:17" ht="10.9" customHeight="1" x14ac:dyDescent="0.25">
      <c r="A55" s="143" t="s">
        <v>2178</v>
      </c>
      <c r="B55" s="641" t="s">
        <v>531</v>
      </c>
      <c r="C55" s="550" t="s">
        <v>3229</v>
      </c>
      <c r="D55" s="532" t="s">
        <v>48</v>
      </c>
      <c r="E55" s="92"/>
      <c r="F55" s="92"/>
      <c r="G55" s="92"/>
      <c r="H55" s="92" t="str">
        <f t="shared" si="2"/>
        <v/>
      </c>
      <c r="I55" s="92"/>
      <c r="J55" s="92"/>
      <c r="K55" s="92"/>
      <c r="L55" s="92"/>
      <c r="M55" s="92" t="str">
        <f t="shared" si="3"/>
        <v/>
      </c>
      <c r="N55" s="92"/>
      <c r="O55" s="546"/>
      <c r="P55" s="178">
        <f t="shared" si="4"/>
        <v>0</v>
      </c>
      <c r="Q55" s="179">
        <f t="shared" si="5"/>
        <v>0</v>
      </c>
    </row>
    <row r="56" spans="1:17" ht="10.9" customHeight="1" x14ac:dyDescent="0.25">
      <c r="A56" s="143" t="s">
        <v>2179</v>
      </c>
      <c r="B56" s="641" t="s">
        <v>532</v>
      </c>
      <c r="C56" s="550" t="s">
        <v>3230</v>
      </c>
      <c r="D56" s="532" t="s">
        <v>48</v>
      </c>
      <c r="E56" s="89"/>
      <c r="F56" s="89"/>
      <c r="G56" s="89"/>
      <c r="H56" s="89" t="str">
        <f t="shared" si="2"/>
        <v/>
      </c>
      <c r="I56" s="89"/>
      <c r="J56" s="89"/>
      <c r="K56" s="89"/>
      <c r="L56" s="89"/>
      <c r="M56" s="89" t="str">
        <f t="shared" si="3"/>
        <v/>
      </c>
      <c r="N56" s="89"/>
      <c r="O56" s="546"/>
      <c r="P56" s="178">
        <f t="shared" si="4"/>
        <v>0</v>
      </c>
      <c r="Q56" s="179">
        <f t="shared" si="5"/>
        <v>0</v>
      </c>
    </row>
    <row r="57" spans="1:17" ht="10.9" customHeight="1" x14ac:dyDescent="0.25">
      <c r="A57" s="143" t="s">
        <v>2180</v>
      </c>
      <c r="B57" s="642" t="s">
        <v>533</v>
      </c>
      <c r="C57" s="552" t="s">
        <v>3231</v>
      </c>
      <c r="D57" s="553" t="s">
        <v>48</v>
      </c>
      <c r="E57" s="148"/>
      <c r="F57" s="148"/>
      <c r="G57" s="148"/>
      <c r="H57" s="148" t="str">
        <f t="shared" si="2"/>
        <v/>
      </c>
      <c r="I57" s="148"/>
      <c r="J57" s="148"/>
      <c r="K57" s="148"/>
      <c r="L57" s="148"/>
      <c r="M57" s="148" t="str">
        <f t="shared" si="3"/>
        <v/>
      </c>
      <c r="N57" s="148"/>
      <c r="O57" s="546"/>
      <c r="P57" s="181">
        <f t="shared" si="4"/>
        <v>0</v>
      </c>
      <c r="Q57" s="182">
        <f t="shared" si="5"/>
        <v>0</v>
      </c>
    </row>
    <row r="58" spans="1:17" ht="10.9" customHeight="1" x14ac:dyDescent="0.25">
      <c r="A58" s="143" t="s">
        <v>2427</v>
      </c>
      <c r="B58" s="641" t="s">
        <v>534</v>
      </c>
      <c r="C58" s="550" t="s">
        <v>3237</v>
      </c>
      <c r="D58" s="532" t="s">
        <v>48</v>
      </c>
      <c r="E58" s="89"/>
      <c r="F58" s="89"/>
      <c r="G58" s="89"/>
      <c r="H58" s="89" t="str">
        <f t="shared" si="2"/>
        <v/>
      </c>
      <c r="I58" s="89"/>
      <c r="J58" s="89"/>
      <c r="K58" s="89"/>
      <c r="L58" s="89"/>
      <c r="M58" s="89" t="str">
        <f t="shared" si="3"/>
        <v/>
      </c>
      <c r="N58" s="89"/>
      <c r="O58" s="546"/>
      <c r="P58" s="178">
        <f t="shared" si="4"/>
        <v>0</v>
      </c>
      <c r="Q58" s="179">
        <f t="shared" si="5"/>
        <v>0</v>
      </c>
    </row>
    <row r="59" spans="1:17" ht="10.9" customHeight="1" x14ac:dyDescent="0.25">
      <c r="A59" s="143" t="s">
        <v>2181</v>
      </c>
      <c r="B59" s="642" t="s">
        <v>535</v>
      </c>
      <c r="C59" s="552" t="s">
        <v>3238</v>
      </c>
      <c r="D59" s="553" t="s">
        <v>48</v>
      </c>
      <c r="E59" s="148"/>
      <c r="F59" s="148"/>
      <c r="G59" s="148"/>
      <c r="H59" s="148" t="str">
        <f t="shared" si="2"/>
        <v/>
      </c>
      <c r="I59" s="148"/>
      <c r="J59" s="148"/>
      <c r="K59" s="148"/>
      <c r="L59" s="148"/>
      <c r="M59" s="148" t="str">
        <f t="shared" si="3"/>
        <v/>
      </c>
      <c r="N59" s="148"/>
      <c r="O59" s="546"/>
      <c r="P59" s="181">
        <f t="shared" si="4"/>
        <v>0</v>
      </c>
      <c r="Q59" s="182">
        <f t="shared" si="5"/>
        <v>0</v>
      </c>
    </row>
    <row r="60" spans="1:17" ht="10.9" customHeight="1" x14ac:dyDescent="0.25">
      <c r="A60" s="143" t="s">
        <v>2182</v>
      </c>
      <c r="B60" s="641" t="s">
        <v>536</v>
      </c>
      <c r="C60" s="550" t="s">
        <v>3234</v>
      </c>
      <c r="D60" s="532" t="s">
        <v>48</v>
      </c>
      <c r="E60" s="89"/>
      <c r="F60" s="89"/>
      <c r="G60" s="89"/>
      <c r="H60" s="89" t="str">
        <f t="shared" si="2"/>
        <v/>
      </c>
      <c r="I60" s="89"/>
      <c r="J60" s="89"/>
      <c r="K60" s="89"/>
      <c r="L60" s="89"/>
      <c r="M60" s="89" t="str">
        <f t="shared" si="3"/>
        <v/>
      </c>
      <c r="N60" s="89"/>
      <c r="O60" s="546"/>
      <c r="P60" s="178">
        <f t="shared" si="4"/>
        <v>0</v>
      </c>
      <c r="Q60" s="179">
        <f t="shared" si="5"/>
        <v>0</v>
      </c>
    </row>
    <row r="61" spans="1:17" ht="10.9" customHeight="1" x14ac:dyDescent="0.25">
      <c r="A61" s="143" t="s">
        <v>2183</v>
      </c>
      <c r="B61" s="643" t="s">
        <v>537</v>
      </c>
      <c r="C61" s="563" t="s">
        <v>3235</v>
      </c>
      <c r="D61" s="537" t="s">
        <v>48</v>
      </c>
      <c r="E61" s="146"/>
      <c r="F61" s="146"/>
      <c r="G61" s="146"/>
      <c r="H61" s="146" t="str">
        <f t="shared" si="2"/>
        <v/>
      </c>
      <c r="I61" s="146"/>
      <c r="J61" s="146"/>
      <c r="K61" s="146"/>
      <c r="L61" s="146"/>
      <c r="M61" s="146" t="str">
        <f t="shared" si="3"/>
        <v/>
      </c>
      <c r="N61" s="146"/>
      <c r="O61" s="546"/>
      <c r="P61" s="188">
        <f t="shared" si="4"/>
        <v>0</v>
      </c>
      <c r="Q61" s="189">
        <f t="shared" si="5"/>
        <v>0</v>
      </c>
    </row>
    <row r="62" spans="1:17" ht="15" customHeight="1" x14ac:dyDescent="0.25">
      <c r="A62" s="143" t="s">
        <v>2184</v>
      </c>
      <c r="B62" s="594" t="s">
        <v>538</v>
      </c>
      <c r="C62" s="585" t="s">
        <v>3063</v>
      </c>
      <c r="D62" s="640" t="s">
        <v>48</v>
      </c>
      <c r="E62" s="154"/>
      <c r="F62" s="154"/>
      <c r="G62" s="154"/>
      <c r="H62" s="154" t="str">
        <f t="shared" si="2"/>
        <v/>
      </c>
      <c r="I62" s="154"/>
      <c r="J62" s="154"/>
      <c r="K62" s="154"/>
      <c r="L62" s="154"/>
      <c r="M62" s="154" t="str">
        <f t="shared" si="3"/>
        <v/>
      </c>
      <c r="N62" s="154"/>
      <c r="O62" s="546"/>
      <c r="P62" s="237">
        <f t="shared" si="4"/>
        <v>0</v>
      </c>
      <c r="Q62" s="238">
        <f t="shared" si="5"/>
        <v>0</v>
      </c>
    </row>
    <row r="63" spans="1:17" ht="10.9" customHeight="1" x14ac:dyDescent="0.25">
      <c r="A63" s="143" t="s">
        <v>2185</v>
      </c>
      <c r="B63" s="641" t="s">
        <v>539</v>
      </c>
      <c r="C63" s="550" t="s">
        <v>3227</v>
      </c>
      <c r="D63" s="532" t="s">
        <v>48</v>
      </c>
      <c r="E63" s="89"/>
      <c r="F63" s="89"/>
      <c r="G63" s="89"/>
      <c r="H63" s="89" t="str">
        <f t="shared" si="2"/>
        <v/>
      </c>
      <c r="I63" s="89"/>
      <c r="J63" s="89"/>
      <c r="K63" s="89"/>
      <c r="L63" s="89"/>
      <c r="M63" s="89" t="str">
        <f t="shared" si="3"/>
        <v/>
      </c>
      <c r="N63" s="89"/>
      <c r="O63" s="546"/>
      <c r="P63" s="178">
        <f t="shared" si="4"/>
        <v>0</v>
      </c>
      <c r="Q63" s="179">
        <f t="shared" si="5"/>
        <v>0</v>
      </c>
    </row>
    <row r="64" spans="1:17" ht="10.9" customHeight="1" x14ac:dyDescent="0.25">
      <c r="A64" s="143" t="s">
        <v>2186</v>
      </c>
      <c r="B64" s="642" t="s">
        <v>540</v>
      </c>
      <c r="C64" s="552" t="s">
        <v>3228</v>
      </c>
      <c r="D64" s="553" t="s">
        <v>48</v>
      </c>
      <c r="E64" s="148"/>
      <c r="F64" s="148"/>
      <c r="G64" s="473">
        <v>0</v>
      </c>
      <c r="H64" s="152" t="str">
        <f>IF(OR(E64="NA",F64="NA"),"NA",IF(AND(E64="",F64=""),"",SUM(E64:G64)))</f>
        <v/>
      </c>
      <c r="I64" s="152"/>
      <c r="J64" s="152"/>
      <c r="K64" s="152"/>
      <c r="L64" s="473">
        <v>0</v>
      </c>
      <c r="M64" s="148" t="str">
        <f>IF(OR(H64="NA",I64="NA",J64="NA",K64="NA"),"NA",IF(AND(H64="",I64="",J64="",K64=""),"",SUM(H64:L64)))</f>
        <v/>
      </c>
      <c r="N64" s="148"/>
      <c r="O64" s="546"/>
      <c r="P64" s="181">
        <f t="shared" si="4"/>
        <v>0</v>
      </c>
      <c r="Q64" s="182">
        <f t="shared" si="5"/>
        <v>0</v>
      </c>
    </row>
    <row r="65" spans="1:17" ht="10.9" customHeight="1" x14ac:dyDescent="0.25">
      <c r="A65" s="143" t="s">
        <v>2187</v>
      </c>
      <c r="B65" s="641" t="s">
        <v>541</v>
      </c>
      <c r="C65" s="550" t="s">
        <v>3229</v>
      </c>
      <c r="D65" s="532" t="s">
        <v>48</v>
      </c>
      <c r="E65" s="89"/>
      <c r="F65" s="89"/>
      <c r="G65" s="89"/>
      <c r="H65" s="89" t="str">
        <f t="shared" si="2"/>
        <v/>
      </c>
      <c r="I65" s="89"/>
      <c r="J65" s="89"/>
      <c r="K65" s="89"/>
      <c r="L65" s="89"/>
      <c r="M65" s="89" t="str">
        <f t="shared" si="3"/>
        <v/>
      </c>
      <c r="N65" s="89"/>
      <c r="O65" s="546"/>
      <c r="P65" s="178">
        <f t="shared" si="4"/>
        <v>0</v>
      </c>
      <c r="Q65" s="179">
        <f t="shared" si="5"/>
        <v>0</v>
      </c>
    </row>
    <row r="66" spans="1:17" ht="10.9" customHeight="1" x14ac:dyDescent="0.25">
      <c r="A66" s="143" t="s">
        <v>2188</v>
      </c>
      <c r="B66" s="641" t="s">
        <v>542</v>
      </c>
      <c r="C66" s="550" t="s">
        <v>3230</v>
      </c>
      <c r="D66" s="532" t="s">
        <v>48</v>
      </c>
      <c r="E66" s="89"/>
      <c r="F66" s="89"/>
      <c r="G66" s="89"/>
      <c r="H66" s="89" t="str">
        <f t="shared" si="2"/>
        <v/>
      </c>
      <c r="I66" s="89"/>
      <c r="J66" s="89"/>
      <c r="K66" s="89"/>
      <c r="L66" s="89"/>
      <c r="M66" s="89" t="str">
        <f t="shared" si="3"/>
        <v/>
      </c>
      <c r="N66" s="89"/>
      <c r="O66" s="546"/>
      <c r="P66" s="178">
        <f t="shared" si="4"/>
        <v>0</v>
      </c>
      <c r="Q66" s="179">
        <f t="shared" si="5"/>
        <v>0</v>
      </c>
    </row>
    <row r="67" spans="1:17" ht="10.9" customHeight="1" x14ac:dyDescent="0.25">
      <c r="A67" s="143" t="s">
        <v>2189</v>
      </c>
      <c r="B67" s="642" t="s">
        <v>543</v>
      </c>
      <c r="C67" s="552" t="s">
        <v>3231</v>
      </c>
      <c r="D67" s="553" t="s">
        <v>48</v>
      </c>
      <c r="E67" s="148"/>
      <c r="F67" s="148"/>
      <c r="G67" s="148"/>
      <c r="H67" s="148" t="str">
        <f t="shared" si="2"/>
        <v/>
      </c>
      <c r="I67" s="148"/>
      <c r="J67" s="148"/>
      <c r="K67" s="148"/>
      <c r="L67" s="148"/>
      <c r="M67" s="148" t="str">
        <f t="shared" si="3"/>
        <v/>
      </c>
      <c r="N67" s="148"/>
      <c r="O67" s="546"/>
      <c r="P67" s="181">
        <f t="shared" si="4"/>
        <v>0</v>
      </c>
      <c r="Q67" s="182">
        <f t="shared" si="5"/>
        <v>0</v>
      </c>
    </row>
    <row r="68" spans="1:17" ht="10.9" customHeight="1" x14ac:dyDescent="0.25">
      <c r="A68" s="143" t="s">
        <v>2428</v>
      </c>
      <c r="B68" s="641" t="s">
        <v>544</v>
      </c>
      <c r="C68" s="550" t="s">
        <v>3237</v>
      </c>
      <c r="D68" s="532" t="s">
        <v>48</v>
      </c>
      <c r="E68" s="89"/>
      <c r="F68" s="89"/>
      <c r="G68" s="89"/>
      <c r="H68" s="89" t="str">
        <f t="shared" si="2"/>
        <v/>
      </c>
      <c r="I68" s="89"/>
      <c r="J68" s="89"/>
      <c r="K68" s="89"/>
      <c r="L68" s="89"/>
      <c r="M68" s="89" t="str">
        <f t="shared" si="3"/>
        <v/>
      </c>
      <c r="N68" s="89"/>
      <c r="O68" s="546"/>
      <c r="P68" s="178">
        <f t="shared" si="4"/>
        <v>0</v>
      </c>
      <c r="Q68" s="179">
        <f t="shared" si="5"/>
        <v>0</v>
      </c>
    </row>
    <row r="69" spans="1:17" ht="10.9" customHeight="1" x14ac:dyDescent="0.25">
      <c r="A69" s="143" t="s">
        <v>2190</v>
      </c>
      <c r="B69" s="642" t="s">
        <v>545</v>
      </c>
      <c r="C69" s="552" t="s">
        <v>3238</v>
      </c>
      <c r="D69" s="553" t="s">
        <v>48</v>
      </c>
      <c r="E69" s="148"/>
      <c r="F69" s="148"/>
      <c r="G69" s="148"/>
      <c r="H69" s="148" t="str">
        <f t="shared" si="2"/>
        <v/>
      </c>
      <c r="I69" s="148"/>
      <c r="J69" s="148"/>
      <c r="K69" s="148"/>
      <c r="L69" s="148"/>
      <c r="M69" s="148" t="str">
        <f t="shared" si="3"/>
        <v/>
      </c>
      <c r="N69" s="148"/>
      <c r="O69" s="546"/>
      <c r="P69" s="181">
        <f t="shared" si="4"/>
        <v>0</v>
      </c>
      <c r="Q69" s="182">
        <f t="shared" si="5"/>
        <v>0</v>
      </c>
    </row>
    <row r="70" spans="1:17" ht="10.9" customHeight="1" x14ac:dyDescent="0.25">
      <c r="A70" s="143" t="s">
        <v>2191</v>
      </c>
      <c r="B70" s="641" t="s">
        <v>546</v>
      </c>
      <c r="C70" s="550" t="s">
        <v>3234</v>
      </c>
      <c r="D70" s="532" t="s">
        <v>48</v>
      </c>
      <c r="E70" s="89"/>
      <c r="F70" s="89"/>
      <c r="G70" s="89"/>
      <c r="H70" s="89" t="str">
        <f t="shared" si="2"/>
        <v/>
      </c>
      <c r="I70" s="89"/>
      <c r="J70" s="89"/>
      <c r="K70" s="89"/>
      <c r="L70" s="89"/>
      <c r="M70" s="89" t="str">
        <f t="shared" si="3"/>
        <v/>
      </c>
      <c r="N70" s="89"/>
      <c r="O70" s="546"/>
      <c r="P70" s="178">
        <f t="shared" si="4"/>
        <v>0</v>
      </c>
      <c r="Q70" s="179">
        <f t="shared" si="5"/>
        <v>0</v>
      </c>
    </row>
    <row r="71" spans="1:17" ht="10.9" customHeight="1" x14ac:dyDescent="0.25">
      <c r="A71" s="143" t="s">
        <v>2192</v>
      </c>
      <c r="B71" s="643" t="s">
        <v>547</v>
      </c>
      <c r="C71" s="563" t="s">
        <v>3235</v>
      </c>
      <c r="D71" s="537" t="s">
        <v>48</v>
      </c>
      <c r="E71" s="146"/>
      <c r="F71" s="146"/>
      <c r="G71" s="146"/>
      <c r="H71" s="146" t="str">
        <f t="shared" si="2"/>
        <v/>
      </c>
      <c r="I71" s="146"/>
      <c r="J71" s="146"/>
      <c r="K71" s="146"/>
      <c r="L71" s="146"/>
      <c r="M71" s="146" t="str">
        <f t="shared" si="3"/>
        <v/>
      </c>
      <c r="N71" s="146"/>
      <c r="O71" s="546"/>
      <c r="P71" s="188">
        <f t="shared" si="4"/>
        <v>0</v>
      </c>
      <c r="Q71" s="189">
        <f t="shared" si="5"/>
        <v>0</v>
      </c>
    </row>
    <row r="72" spans="1:17" s="103" customFormat="1" ht="9.75" x14ac:dyDescent="0.15">
      <c r="B72" s="580"/>
      <c r="C72" s="531"/>
      <c r="D72" s="531"/>
      <c r="E72" s="581"/>
      <c r="F72" s="581"/>
      <c r="G72" s="581"/>
      <c r="H72" s="581"/>
      <c r="I72" s="581"/>
      <c r="J72" s="581"/>
      <c r="K72" s="581"/>
      <c r="L72" s="581"/>
      <c r="M72" s="581"/>
      <c r="N72" s="581"/>
      <c r="O72" s="581"/>
      <c r="P72" s="191"/>
      <c r="Q72" s="191"/>
    </row>
    <row r="73" spans="1:17" s="241" customFormat="1" ht="15.6" customHeight="1" x14ac:dyDescent="0.2">
      <c r="B73" s="717" t="s">
        <v>3251</v>
      </c>
      <c r="C73" s="726"/>
      <c r="D73" s="284"/>
      <c r="E73" s="285"/>
      <c r="F73" s="285"/>
      <c r="G73" s="285"/>
      <c r="H73" s="285"/>
      <c r="I73" s="285"/>
      <c r="J73" s="285"/>
      <c r="K73" s="239"/>
      <c r="L73" s="239"/>
      <c r="M73" s="239"/>
      <c r="N73" s="240"/>
      <c r="O73" s="288"/>
      <c r="P73" s="198"/>
      <c r="Q73" s="198"/>
    </row>
    <row r="74" spans="1:17" s="103" customFormat="1" ht="10.35" customHeight="1" x14ac:dyDescent="0.2">
      <c r="B74" s="724" t="s">
        <v>2776</v>
      </c>
      <c r="C74" s="727"/>
      <c r="D74" s="207" t="s">
        <v>48</v>
      </c>
      <c r="E74" s="243"/>
      <c r="F74" s="243"/>
      <c r="G74" s="243"/>
      <c r="H74" s="243"/>
      <c r="I74" s="243"/>
      <c r="J74" s="243"/>
      <c r="K74" s="242"/>
      <c r="L74" s="242"/>
      <c r="M74" s="242"/>
      <c r="N74" s="242"/>
      <c r="O74" s="202"/>
      <c r="P74" s="191"/>
      <c r="Q74" s="191"/>
    </row>
    <row r="75" spans="1:17" s="103" customFormat="1" ht="10.35" customHeight="1" x14ac:dyDescent="0.2">
      <c r="B75" s="724"/>
      <c r="C75" s="728" t="s">
        <v>874</v>
      </c>
      <c r="D75" s="207" t="s">
        <v>48</v>
      </c>
      <c r="E75" s="243">
        <f t="shared" ref="E75:N75" si="6">IF(OR(E8="NA",E9="NA",E10="NA"),"NA",-SUM(E8)+SUM(E9)+SUM(E10))</f>
        <v>0</v>
      </c>
      <c r="F75" s="243">
        <f t="shared" si="6"/>
        <v>0</v>
      </c>
      <c r="G75" s="243">
        <f t="shared" si="6"/>
        <v>0</v>
      </c>
      <c r="H75" s="243">
        <f t="shared" si="6"/>
        <v>0</v>
      </c>
      <c r="I75" s="243">
        <f t="shared" si="6"/>
        <v>0</v>
      </c>
      <c r="J75" s="243">
        <f t="shared" si="6"/>
        <v>0</v>
      </c>
      <c r="K75" s="243">
        <f t="shared" si="6"/>
        <v>0</v>
      </c>
      <c r="L75" s="243">
        <f t="shared" si="6"/>
        <v>0</v>
      </c>
      <c r="M75" s="243">
        <f t="shared" si="6"/>
        <v>0</v>
      </c>
      <c r="N75" s="243">
        <f t="shared" si="6"/>
        <v>0</v>
      </c>
      <c r="O75" s="202"/>
      <c r="P75" s="191"/>
      <c r="Q75" s="191"/>
    </row>
    <row r="76" spans="1:17" s="103" customFormat="1" ht="10.35" customHeight="1" x14ac:dyDescent="0.2">
      <c r="B76" s="729"/>
      <c r="C76" s="728" t="s">
        <v>875</v>
      </c>
      <c r="D76" s="136" t="s">
        <v>48</v>
      </c>
      <c r="E76" s="243">
        <f t="shared" ref="E76:N76" si="7">IF(OR(E8="NA",E11="NA",E12="NA",E13="NA"),"NA",-SUM(E8)+SUM(E11)+SUM(E12)+SUM(E13))</f>
        <v>0</v>
      </c>
      <c r="F76" s="243">
        <f t="shared" si="7"/>
        <v>0</v>
      </c>
      <c r="G76" s="243">
        <f t="shared" si="7"/>
        <v>0</v>
      </c>
      <c r="H76" s="243">
        <f t="shared" si="7"/>
        <v>0</v>
      </c>
      <c r="I76" s="243">
        <f t="shared" si="7"/>
        <v>0</v>
      </c>
      <c r="J76" s="243">
        <f t="shared" si="7"/>
        <v>0</v>
      </c>
      <c r="K76" s="243">
        <f t="shared" si="7"/>
        <v>0</v>
      </c>
      <c r="L76" s="243">
        <f t="shared" si="7"/>
        <v>0</v>
      </c>
      <c r="M76" s="243">
        <f t="shared" si="7"/>
        <v>0</v>
      </c>
      <c r="N76" s="243">
        <f t="shared" si="7"/>
        <v>0</v>
      </c>
      <c r="O76" s="202"/>
      <c r="P76" s="191"/>
      <c r="Q76" s="191"/>
    </row>
    <row r="77" spans="1:17" s="103" customFormat="1" ht="10.35" customHeight="1" x14ac:dyDescent="0.2">
      <c r="B77" s="729"/>
      <c r="C77" s="728" t="s">
        <v>876</v>
      </c>
      <c r="D77" s="136" t="s">
        <v>48</v>
      </c>
      <c r="E77" s="243">
        <f t="shared" ref="E77:N77" si="8">IF(OR(E8="NA",E14="NA",E15="NA"),"NA",-SUM(E8)+SUM(E14)+SUM(E15))</f>
        <v>0</v>
      </c>
      <c r="F77" s="243">
        <f t="shared" si="8"/>
        <v>0</v>
      </c>
      <c r="G77" s="243">
        <f t="shared" si="8"/>
        <v>0</v>
      </c>
      <c r="H77" s="243">
        <f t="shared" si="8"/>
        <v>0</v>
      </c>
      <c r="I77" s="243">
        <f t="shared" si="8"/>
        <v>0</v>
      </c>
      <c r="J77" s="243">
        <f t="shared" si="8"/>
        <v>0</v>
      </c>
      <c r="K77" s="243">
        <f t="shared" si="8"/>
        <v>0</v>
      </c>
      <c r="L77" s="243">
        <f t="shared" si="8"/>
        <v>0</v>
      </c>
      <c r="M77" s="243">
        <f t="shared" si="8"/>
        <v>0</v>
      </c>
      <c r="N77" s="243">
        <f t="shared" si="8"/>
        <v>0</v>
      </c>
      <c r="O77" s="202"/>
      <c r="P77" s="191"/>
      <c r="Q77" s="191"/>
    </row>
    <row r="78" spans="1:17" s="103" customFormat="1" ht="10.35" customHeight="1" x14ac:dyDescent="0.2">
      <c r="B78" s="729"/>
      <c r="C78" s="730" t="s">
        <v>877</v>
      </c>
      <c r="D78" s="208" t="s">
        <v>48</v>
      </c>
      <c r="E78" s="244">
        <f t="shared" ref="E78:N78" si="9">IF(OR(E8="NA",E16="NA",E17="NA"),"NA",-SUM(E8)+SUM(E16)+SUM(E17))</f>
        <v>0</v>
      </c>
      <c r="F78" s="244">
        <f t="shared" si="9"/>
        <v>0</v>
      </c>
      <c r="G78" s="244">
        <f t="shared" si="9"/>
        <v>0</v>
      </c>
      <c r="H78" s="244">
        <f t="shared" si="9"/>
        <v>0</v>
      </c>
      <c r="I78" s="244">
        <f t="shared" si="9"/>
        <v>0</v>
      </c>
      <c r="J78" s="244">
        <f t="shared" si="9"/>
        <v>0</v>
      </c>
      <c r="K78" s="244">
        <f t="shared" si="9"/>
        <v>0</v>
      </c>
      <c r="L78" s="244">
        <f t="shared" si="9"/>
        <v>0</v>
      </c>
      <c r="M78" s="244">
        <f t="shared" si="9"/>
        <v>0</v>
      </c>
      <c r="N78" s="244">
        <f t="shared" si="9"/>
        <v>0</v>
      </c>
      <c r="O78" s="202"/>
      <c r="P78" s="191"/>
      <c r="Q78" s="191"/>
    </row>
    <row r="79" spans="1:17" s="103" customFormat="1" ht="10.35" customHeight="1" x14ac:dyDescent="0.2">
      <c r="B79" s="731"/>
      <c r="C79" s="728" t="s">
        <v>878</v>
      </c>
      <c r="D79" s="136" t="s">
        <v>48</v>
      </c>
      <c r="E79" s="243">
        <f t="shared" ref="E79:N79" si="10">IF(OR(E18="NA",E19="NA",E20="NA"),"NA",-SUM(E18)+SUM(E19)+SUM(E20))</f>
        <v>0</v>
      </c>
      <c r="F79" s="243">
        <f t="shared" si="10"/>
        <v>0</v>
      </c>
      <c r="G79" s="243">
        <f t="shared" si="10"/>
        <v>0</v>
      </c>
      <c r="H79" s="243">
        <f t="shared" si="10"/>
        <v>0</v>
      </c>
      <c r="I79" s="243">
        <f t="shared" si="10"/>
        <v>0</v>
      </c>
      <c r="J79" s="243">
        <f t="shared" si="10"/>
        <v>0</v>
      </c>
      <c r="K79" s="243">
        <f t="shared" si="10"/>
        <v>0</v>
      </c>
      <c r="L79" s="243">
        <f t="shared" si="10"/>
        <v>0</v>
      </c>
      <c r="M79" s="243">
        <f t="shared" si="10"/>
        <v>0</v>
      </c>
      <c r="N79" s="243">
        <f t="shared" si="10"/>
        <v>0</v>
      </c>
      <c r="O79" s="202"/>
      <c r="P79" s="191"/>
      <c r="Q79" s="191"/>
    </row>
    <row r="80" spans="1:17" s="103" customFormat="1" ht="10.35" customHeight="1" x14ac:dyDescent="0.2">
      <c r="B80" s="731"/>
      <c r="C80" s="728" t="s">
        <v>879</v>
      </c>
      <c r="D80" s="136" t="s">
        <v>48</v>
      </c>
      <c r="E80" s="243">
        <f t="shared" ref="E80:N80" si="11">IF(OR(E18="NA",E21="NA",E22="NA",E23="NA"),"NA",-SUM(E18)+SUM(E21)+SUM(E22)+SUM(E23))</f>
        <v>0</v>
      </c>
      <c r="F80" s="243">
        <f t="shared" si="11"/>
        <v>0</v>
      </c>
      <c r="G80" s="243">
        <f t="shared" si="11"/>
        <v>0</v>
      </c>
      <c r="H80" s="243">
        <f t="shared" si="11"/>
        <v>0</v>
      </c>
      <c r="I80" s="243">
        <f t="shared" si="11"/>
        <v>0</v>
      </c>
      <c r="J80" s="243">
        <f t="shared" si="11"/>
        <v>0</v>
      </c>
      <c r="K80" s="243">
        <f t="shared" si="11"/>
        <v>0</v>
      </c>
      <c r="L80" s="243">
        <f t="shared" si="11"/>
        <v>0</v>
      </c>
      <c r="M80" s="243">
        <f t="shared" si="11"/>
        <v>0</v>
      </c>
      <c r="N80" s="243">
        <f t="shared" si="11"/>
        <v>0</v>
      </c>
      <c r="O80" s="202"/>
      <c r="P80" s="191"/>
      <c r="Q80" s="191"/>
    </row>
    <row r="81" spans="2:17" s="103" customFormat="1" ht="10.35" customHeight="1" x14ac:dyDescent="0.2">
      <c r="B81" s="731"/>
      <c r="C81" s="728" t="s">
        <v>880</v>
      </c>
      <c r="D81" s="136" t="s">
        <v>48</v>
      </c>
      <c r="E81" s="243">
        <f t="shared" ref="E81:N81" si="12">IF(OR(E18="NA",E24="NA",E25="NA"),"NA",-SUM(E18)+SUM(E24)+SUM(E25))</f>
        <v>0</v>
      </c>
      <c r="F81" s="243">
        <f t="shared" si="12"/>
        <v>0</v>
      </c>
      <c r="G81" s="243">
        <f t="shared" si="12"/>
        <v>0</v>
      </c>
      <c r="H81" s="243">
        <f t="shared" si="12"/>
        <v>0</v>
      </c>
      <c r="I81" s="243">
        <f t="shared" si="12"/>
        <v>0</v>
      </c>
      <c r="J81" s="243">
        <f t="shared" si="12"/>
        <v>0</v>
      </c>
      <c r="K81" s="243">
        <f t="shared" si="12"/>
        <v>0</v>
      </c>
      <c r="L81" s="243">
        <f t="shared" si="12"/>
        <v>0</v>
      </c>
      <c r="M81" s="243">
        <f t="shared" si="12"/>
        <v>0</v>
      </c>
      <c r="N81" s="243">
        <f t="shared" si="12"/>
        <v>0</v>
      </c>
      <c r="O81" s="202"/>
      <c r="P81" s="191"/>
      <c r="Q81" s="191"/>
    </row>
    <row r="82" spans="2:17" s="103" customFormat="1" ht="10.35" customHeight="1" x14ac:dyDescent="0.2">
      <c r="B82" s="731"/>
      <c r="C82" s="730" t="s">
        <v>881</v>
      </c>
      <c r="D82" s="208" t="s">
        <v>48</v>
      </c>
      <c r="E82" s="244">
        <f t="shared" ref="E82:N82" si="13">IF(OR(E18="NA",E26="NA",E27="NA"),"NA",-SUM(E18)+SUM(E26)+SUM(E27))</f>
        <v>0</v>
      </c>
      <c r="F82" s="244">
        <f t="shared" si="13"/>
        <v>0</v>
      </c>
      <c r="G82" s="244">
        <f t="shared" si="13"/>
        <v>0</v>
      </c>
      <c r="H82" s="244">
        <f t="shared" si="13"/>
        <v>0</v>
      </c>
      <c r="I82" s="244">
        <f t="shared" si="13"/>
        <v>0</v>
      </c>
      <c r="J82" s="244">
        <f t="shared" si="13"/>
        <v>0</v>
      </c>
      <c r="K82" s="244">
        <f t="shared" si="13"/>
        <v>0</v>
      </c>
      <c r="L82" s="244">
        <f t="shared" si="13"/>
        <v>0</v>
      </c>
      <c r="M82" s="244">
        <f t="shared" si="13"/>
        <v>0</v>
      </c>
      <c r="N82" s="244">
        <f t="shared" si="13"/>
        <v>0</v>
      </c>
      <c r="O82" s="202"/>
      <c r="P82" s="191"/>
      <c r="Q82" s="191"/>
    </row>
    <row r="83" spans="2:17" s="103" customFormat="1" ht="10.35" customHeight="1" x14ac:dyDescent="0.2">
      <c r="B83" s="731"/>
      <c r="C83" s="728" t="s">
        <v>882</v>
      </c>
      <c r="D83" s="136" t="s">
        <v>48</v>
      </c>
      <c r="E83" s="243">
        <f t="shared" ref="E83:N83" si="14">IF(OR(E28="NA",E29="NA",E30="NA"),"NA",-SUM(E28)+SUM(E29)+SUM(E30))</f>
        <v>0</v>
      </c>
      <c r="F83" s="243">
        <f t="shared" si="14"/>
        <v>0</v>
      </c>
      <c r="G83" s="243">
        <f t="shared" si="14"/>
        <v>0</v>
      </c>
      <c r="H83" s="243">
        <f t="shared" si="14"/>
        <v>0</v>
      </c>
      <c r="I83" s="243">
        <f t="shared" si="14"/>
        <v>0</v>
      </c>
      <c r="J83" s="243">
        <f t="shared" si="14"/>
        <v>0</v>
      </c>
      <c r="K83" s="243">
        <f t="shared" si="14"/>
        <v>0</v>
      </c>
      <c r="L83" s="243">
        <f t="shared" si="14"/>
        <v>0</v>
      </c>
      <c r="M83" s="243">
        <f t="shared" si="14"/>
        <v>0</v>
      </c>
      <c r="N83" s="243">
        <f t="shared" si="14"/>
        <v>0</v>
      </c>
      <c r="O83" s="202"/>
      <c r="P83" s="191"/>
      <c r="Q83" s="191"/>
    </row>
    <row r="84" spans="2:17" ht="10.35" customHeight="1" x14ac:dyDescent="0.2">
      <c r="B84" s="731"/>
      <c r="C84" s="728" t="s">
        <v>883</v>
      </c>
      <c r="D84" s="136" t="s">
        <v>48</v>
      </c>
      <c r="E84" s="243">
        <f t="shared" ref="E84:N84" si="15">IF(OR(E28="NA",E31="NA",E33="NA",E35="NA"),"NA",-SUM(E28)+SUM(E31)+SUM(E33)+SUM(E35))</f>
        <v>0</v>
      </c>
      <c r="F84" s="243">
        <f t="shared" si="15"/>
        <v>0</v>
      </c>
      <c r="G84" s="243">
        <f t="shared" si="15"/>
        <v>0</v>
      </c>
      <c r="H84" s="243">
        <f t="shared" si="15"/>
        <v>0</v>
      </c>
      <c r="I84" s="243">
        <f t="shared" si="15"/>
        <v>0</v>
      </c>
      <c r="J84" s="243">
        <f t="shared" si="15"/>
        <v>0</v>
      </c>
      <c r="K84" s="243">
        <f t="shared" si="15"/>
        <v>0</v>
      </c>
      <c r="L84" s="243">
        <f t="shared" si="15"/>
        <v>0</v>
      </c>
      <c r="M84" s="243">
        <f t="shared" si="15"/>
        <v>0</v>
      </c>
      <c r="N84" s="243">
        <f t="shared" si="15"/>
        <v>0</v>
      </c>
      <c r="O84" s="202"/>
      <c r="P84" s="202"/>
      <c r="Q84" s="202"/>
    </row>
    <row r="85" spans="2:17" ht="10.35" customHeight="1" x14ac:dyDescent="0.2">
      <c r="B85" s="731"/>
      <c r="C85" s="728" t="s">
        <v>884</v>
      </c>
      <c r="D85" s="136" t="s">
        <v>48</v>
      </c>
      <c r="E85" s="243">
        <f t="shared" ref="E85:N85" si="16">IF(OR(E28="NA",E36="NA",E37="NA"),"NA",-SUM(E28)+SUM(E36)+SUM(E37))</f>
        <v>0</v>
      </c>
      <c r="F85" s="243">
        <f t="shared" si="16"/>
        <v>0</v>
      </c>
      <c r="G85" s="243">
        <f t="shared" si="16"/>
        <v>0</v>
      </c>
      <c r="H85" s="243">
        <f t="shared" si="16"/>
        <v>0</v>
      </c>
      <c r="I85" s="243">
        <f t="shared" si="16"/>
        <v>0</v>
      </c>
      <c r="J85" s="243">
        <f t="shared" si="16"/>
        <v>0</v>
      </c>
      <c r="K85" s="243">
        <f t="shared" si="16"/>
        <v>0</v>
      </c>
      <c r="L85" s="243">
        <f t="shared" si="16"/>
        <v>0</v>
      </c>
      <c r="M85" s="243">
        <f t="shared" si="16"/>
        <v>0</v>
      </c>
      <c r="N85" s="243">
        <f t="shared" si="16"/>
        <v>0</v>
      </c>
      <c r="O85" s="202"/>
      <c r="P85" s="202"/>
      <c r="Q85" s="202"/>
    </row>
    <row r="86" spans="2:17" ht="10.35" customHeight="1" x14ac:dyDescent="0.2">
      <c r="B86" s="731"/>
      <c r="C86" s="730" t="s">
        <v>885</v>
      </c>
      <c r="D86" s="208" t="s">
        <v>48</v>
      </c>
      <c r="E86" s="244">
        <f t="shared" ref="E86:N86" si="17">IF(OR(E28="NA",E38="NA",E39="NA"),"NA",-SUM(E28)+SUM(E38)+SUM(E39))</f>
        <v>0</v>
      </c>
      <c r="F86" s="244">
        <f t="shared" si="17"/>
        <v>0</v>
      </c>
      <c r="G86" s="244">
        <f t="shared" si="17"/>
        <v>0</v>
      </c>
      <c r="H86" s="244">
        <f t="shared" si="17"/>
        <v>0</v>
      </c>
      <c r="I86" s="244">
        <f t="shared" si="17"/>
        <v>0</v>
      </c>
      <c r="J86" s="244">
        <f t="shared" si="17"/>
        <v>0</v>
      </c>
      <c r="K86" s="244">
        <f t="shared" si="17"/>
        <v>0</v>
      </c>
      <c r="L86" s="244">
        <f t="shared" si="17"/>
        <v>0</v>
      </c>
      <c r="M86" s="244">
        <f t="shared" si="17"/>
        <v>0</v>
      </c>
      <c r="N86" s="244">
        <f t="shared" si="17"/>
        <v>0</v>
      </c>
      <c r="O86" s="202"/>
      <c r="P86" s="202"/>
      <c r="Q86" s="202"/>
    </row>
    <row r="87" spans="2:17" ht="10.35" customHeight="1" x14ac:dyDescent="0.2">
      <c r="B87" s="731"/>
      <c r="C87" s="728" t="s">
        <v>886</v>
      </c>
      <c r="D87" s="136" t="s">
        <v>48</v>
      </c>
      <c r="E87" s="243">
        <f t="shared" ref="E87:N87" si="18">IF(OR(E40="NA",E41="NA",E42="NA"),"NA",-SUM(E40)+SUM(E41)+SUM(E42))</f>
        <v>0</v>
      </c>
      <c r="F87" s="243">
        <f t="shared" si="18"/>
        <v>0</v>
      </c>
      <c r="G87" s="243">
        <f t="shared" si="18"/>
        <v>0</v>
      </c>
      <c r="H87" s="243">
        <f t="shared" si="18"/>
        <v>0</v>
      </c>
      <c r="I87" s="243">
        <f t="shared" si="18"/>
        <v>0</v>
      </c>
      <c r="J87" s="243">
        <f t="shared" si="18"/>
        <v>0</v>
      </c>
      <c r="K87" s="243">
        <f t="shared" si="18"/>
        <v>0</v>
      </c>
      <c r="L87" s="243">
        <f t="shared" si="18"/>
        <v>0</v>
      </c>
      <c r="M87" s="243">
        <f t="shared" si="18"/>
        <v>0</v>
      </c>
      <c r="N87" s="243">
        <f t="shared" si="18"/>
        <v>0</v>
      </c>
      <c r="O87" s="202"/>
      <c r="P87" s="202"/>
      <c r="Q87" s="202"/>
    </row>
    <row r="88" spans="2:17" ht="10.35" customHeight="1" x14ac:dyDescent="0.2">
      <c r="B88" s="729"/>
      <c r="C88" s="728" t="s">
        <v>887</v>
      </c>
      <c r="D88" s="136" t="s">
        <v>48</v>
      </c>
      <c r="E88" s="243">
        <f t="shared" ref="E88:N88" si="19">IF(OR(E40="NA",E43="NA",E45="NA",E47="NA"),"NA",-SUM(E40)+SUM(E43)+SUM(E45)+SUM(E47))</f>
        <v>0</v>
      </c>
      <c r="F88" s="243">
        <f t="shared" si="19"/>
        <v>0</v>
      </c>
      <c r="G88" s="243">
        <f t="shared" si="19"/>
        <v>0</v>
      </c>
      <c r="H88" s="243">
        <f t="shared" si="19"/>
        <v>0</v>
      </c>
      <c r="I88" s="243">
        <f t="shared" si="19"/>
        <v>0</v>
      </c>
      <c r="J88" s="243">
        <f t="shared" si="19"/>
        <v>0</v>
      </c>
      <c r="K88" s="243">
        <f t="shared" si="19"/>
        <v>0</v>
      </c>
      <c r="L88" s="243">
        <f t="shared" si="19"/>
        <v>0</v>
      </c>
      <c r="M88" s="243">
        <f t="shared" si="19"/>
        <v>0</v>
      </c>
      <c r="N88" s="243">
        <f t="shared" si="19"/>
        <v>0</v>
      </c>
      <c r="O88" s="202"/>
      <c r="P88" s="202"/>
      <c r="Q88" s="202"/>
    </row>
    <row r="89" spans="2:17" ht="10.35" customHeight="1" x14ac:dyDescent="0.2">
      <c r="B89" s="729"/>
      <c r="C89" s="728" t="s">
        <v>888</v>
      </c>
      <c r="D89" s="136" t="s">
        <v>48</v>
      </c>
      <c r="E89" s="243">
        <f t="shared" ref="E89:N89" si="20">IF(OR(E40="NA",E48="NA",E49="NA"),"NA",-SUM(E40)+SUM(E48)+SUM(E49))</f>
        <v>0</v>
      </c>
      <c r="F89" s="243">
        <f t="shared" si="20"/>
        <v>0</v>
      </c>
      <c r="G89" s="243">
        <f t="shared" si="20"/>
        <v>0</v>
      </c>
      <c r="H89" s="243">
        <f t="shared" si="20"/>
        <v>0</v>
      </c>
      <c r="I89" s="243">
        <f t="shared" si="20"/>
        <v>0</v>
      </c>
      <c r="J89" s="243">
        <f t="shared" si="20"/>
        <v>0</v>
      </c>
      <c r="K89" s="243">
        <f t="shared" si="20"/>
        <v>0</v>
      </c>
      <c r="L89" s="243">
        <f t="shared" si="20"/>
        <v>0</v>
      </c>
      <c r="M89" s="243">
        <f t="shared" si="20"/>
        <v>0</v>
      </c>
      <c r="N89" s="243">
        <f t="shared" si="20"/>
        <v>0</v>
      </c>
      <c r="O89" s="202"/>
      <c r="P89" s="202"/>
      <c r="Q89" s="202"/>
    </row>
    <row r="90" spans="2:17" ht="10.35" customHeight="1" x14ac:dyDescent="0.2">
      <c r="B90" s="731"/>
      <c r="C90" s="730" t="s">
        <v>889</v>
      </c>
      <c r="D90" s="208" t="s">
        <v>48</v>
      </c>
      <c r="E90" s="244">
        <f t="shared" ref="E90:N90" si="21">IF(OR(E40="NA",E50="NA",E51="NA"),"NA",-SUM(E40)+SUM(E50)+SUM(E51))</f>
        <v>0</v>
      </c>
      <c r="F90" s="244">
        <f t="shared" si="21"/>
        <v>0</v>
      </c>
      <c r="G90" s="244">
        <f t="shared" si="21"/>
        <v>0</v>
      </c>
      <c r="H90" s="244">
        <f t="shared" si="21"/>
        <v>0</v>
      </c>
      <c r="I90" s="244">
        <f t="shared" si="21"/>
        <v>0</v>
      </c>
      <c r="J90" s="244">
        <f t="shared" si="21"/>
        <v>0</v>
      </c>
      <c r="K90" s="244">
        <f t="shared" si="21"/>
        <v>0</v>
      </c>
      <c r="L90" s="244">
        <f t="shared" si="21"/>
        <v>0</v>
      </c>
      <c r="M90" s="244">
        <f t="shared" si="21"/>
        <v>0</v>
      </c>
      <c r="N90" s="244">
        <f t="shared" si="21"/>
        <v>0</v>
      </c>
      <c r="O90" s="202"/>
      <c r="P90" s="202"/>
      <c r="Q90" s="202"/>
    </row>
    <row r="91" spans="2:17" ht="10.35" customHeight="1" x14ac:dyDescent="0.2">
      <c r="B91" s="731"/>
      <c r="C91" s="728" t="s">
        <v>890</v>
      </c>
      <c r="D91" s="207" t="s">
        <v>48</v>
      </c>
      <c r="E91" s="243">
        <f t="shared" ref="E91:N91" si="22">IF(OR(E52="NA",E53="NA",E54="NA"),"NA",-SUM(E52)+SUM(E53)+SUM(E54))</f>
        <v>0</v>
      </c>
      <c r="F91" s="243">
        <f t="shared" si="22"/>
        <v>0</v>
      </c>
      <c r="G91" s="243">
        <f t="shared" si="22"/>
        <v>0</v>
      </c>
      <c r="H91" s="243">
        <f t="shared" si="22"/>
        <v>0</v>
      </c>
      <c r="I91" s="243">
        <f t="shared" si="22"/>
        <v>0</v>
      </c>
      <c r="J91" s="243">
        <f t="shared" si="22"/>
        <v>0</v>
      </c>
      <c r="K91" s="243">
        <f t="shared" si="22"/>
        <v>0</v>
      </c>
      <c r="L91" s="243">
        <f t="shared" si="22"/>
        <v>0</v>
      </c>
      <c r="M91" s="243">
        <f t="shared" si="22"/>
        <v>0</v>
      </c>
      <c r="N91" s="243">
        <f t="shared" si="22"/>
        <v>0</v>
      </c>
      <c r="O91" s="202"/>
      <c r="P91" s="202"/>
      <c r="Q91" s="202"/>
    </row>
    <row r="92" spans="2:17" ht="10.35" customHeight="1" x14ac:dyDescent="0.2">
      <c r="B92" s="731"/>
      <c r="C92" s="728" t="s">
        <v>891</v>
      </c>
      <c r="D92" s="207" t="s">
        <v>48</v>
      </c>
      <c r="E92" s="243">
        <f t="shared" ref="E92:N92" si="23">IF(OR(E52="NA",E55="NA",E56="NA",E57="NA"),"NA",-SUM(E52)+SUM(E55)+SUM(E56)+SUM(E57))</f>
        <v>0</v>
      </c>
      <c r="F92" s="243">
        <f t="shared" si="23"/>
        <v>0</v>
      </c>
      <c r="G92" s="243">
        <f t="shared" si="23"/>
        <v>0</v>
      </c>
      <c r="H92" s="243">
        <f t="shared" si="23"/>
        <v>0</v>
      </c>
      <c r="I92" s="243">
        <f t="shared" si="23"/>
        <v>0</v>
      </c>
      <c r="J92" s="243">
        <f t="shared" si="23"/>
        <v>0</v>
      </c>
      <c r="K92" s="243">
        <f t="shared" si="23"/>
        <v>0</v>
      </c>
      <c r="L92" s="243">
        <f t="shared" si="23"/>
        <v>0</v>
      </c>
      <c r="M92" s="243">
        <f t="shared" si="23"/>
        <v>0</v>
      </c>
      <c r="N92" s="243">
        <f t="shared" si="23"/>
        <v>0</v>
      </c>
      <c r="O92" s="202"/>
      <c r="P92" s="202"/>
      <c r="Q92" s="202"/>
    </row>
    <row r="93" spans="2:17" ht="10.35" customHeight="1" x14ac:dyDescent="0.2">
      <c r="B93" s="731"/>
      <c r="C93" s="728" t="s">
        <v>892</v>
      </c>
      <c r="D93" s="207" t="s">
        <v>48</v>
      </c>
      <c r="E93" s="243">
        <f t="shared" ref="E93:N93" si="24">IF(OR(E52="NA",E58="NA",E59="NA"),"NA",-SUM(E52)+SUM(E58)+SUM(E59))</f>
        <v>0</v>
      </c>
      <c r="F93" s="243">
        <f t="shared" si="24"/>
        <v>0</v>
      </c>
      <c r="G93" s="243">
        <f t="shared" si="24"/>
        <v>0</v>
      </c>
      <c r="H93" s="243">
        <f t="shared" si="24"/>
        <v>0</v>
      </c>
      <c r="I93" s="243">
        <f t="shared" si="24"/>
        <v>0</v>
      </c>
      <c r="J93" s="243">
        <f t="shared" si="24"/>
        <v>0</v>
      </c>
      <c r="K93" s="243">
        <f t="shared" si="24"/>
        <v>0</v>
      </c>
      <c r="L93" s="243">
        <f t="shared" si="24"/>
        <v>0</v>
      </c>
      <c r="M93" s="243">
        <f t="shared" si="24"/>
        <v>0</v>
      </c>
      <c r="N93" s="243">
        <f t="shared" si="24"/>
        <v>0</v>
      </c>
      <c r="O93" s="202"/>
      <c r="P93" s="202"/>
      <c r="Q93" s="202"/>
    </row>
    <row r="94" spans="2:17" ht="10.35" customHeight="1" x14ac:dyDescent="0.2">
      <c r="B94" s="731"/>
      <c r="C94" s="730" t="s">
        <v>893</v>
      </c>
      <c r="D94" s="208" t="s">
        <v>48</v>
      </c>
      <c r="E94" s="244">
        <f t="shared" ref="E94:N94" si="25">IF(OR(E52="NA",E60="NA",E61="NA"),"NA",-SUM(E52)+SUM(E60)+SUM(E61))</f>
        <v>0</v>
      </c>
      <c r="F94" s="244">
        <f t="shared" si="25"/>
        <v>0</v>
      </c>
      <c r="G94" s="244">
        <f t="shared" si="25"/>
        <v>0</v>
      </c>
      <c r="H94" s="244">
        <f t="shared" si="25"/>
        <v>0</v>
      </c>
      <c r="I94" s="244">
        <f t="shared" si="25"/>
        <v>0</v>
      </c>
      <c r="J94" s="244">
        <f t="shared" si="25"/>
        <v>0</v>
      </c>
      <c r="K94" s="244">
        <f t="shared" si="25"/>
        <v>0</v>
      </c>
      <c r="L94" s="244">
        <f t="shared" si="25"/>
        <v>0</v>
      </c>
      <c r="M94" s="244">
        <f t="shared" si="25"/>
        <v>0</v>
      </c>
      <c r="N94" s="244">
        <f t="shared" si="25"/>
        <v>0</v>
      </c>
      <c r="O94" s="202"/>
      <c r="P94" s="202"/>
      <c r="Q94" s="202"/>
    </row>
    <row r="95" spans="2:17" ht="10.35" customHeight="1" x14ac:dyDescent="0.2">
      <c r="B95" s="731"/>
      <c r="C95" s="728" t="s">
        <v>894</v>
      </c>
      <c r="D95" s="207" t="s">
        <v>48</v>
      </c>
      <c r="E95" s="243">
        <f t="shared" ref="E95:N95" si="26">IF(OR(E62="NA",E63="NA",E64="NA"),"NA",-SUM(E62)+SUM(E63)+SUM(E64))</f>
        <v>0</v>
      </c>
      <c r="F95" s="243">
        <f t="shared" si="26"/>
        <v>0</v>
      </c>
      <c r="G95" s="243">
        <f t="shared" si="26"/>
        <v>0</v>
      </c>
      <c r="H95" s="243">
        <f t="shared" si="26"/>
        <v>0</v>
      </c>
      <c r="I95" s="243">
        <f t="shared" si="26"/>
        <v>0</v>
      </c>
      <c r="J95" s="243">
        <f t="shared" si="26"/>
        <v>0</v>
      </c>
      <c r="K95" s="243">
        <f t="shared" si="26"/>
        <v>0</v>
      </c>
      <c r="L95" s="243">
        <f t="shared" si="26"/>
        <v>0</v>
      </c>
      <c r="M95" s="243">
        <f t="shared" si="26"/>
        <v>0</v>
      </c>
      <c r="N95" s="243">
        <f t="shared" si="26"/>
        <v>0</v>
      </c>
      <c r="O95" s="202"/>
      <c r="P95" s="202"/>
      <c r="Q95" s="202"/>
    </row>
    <row r="96" spans="2:17" ht="10.35" customHeight="1" x14ac:dyDescent="0.2">
      <c r="B96" s="731"/>
      <c r="C96" s="728" t="s">
        <v>895</v>
      </c>
      <c r="D96" s="207" t="s">
        <v>48</v>
      </c>
      <c r="E96" s="243">
        <f t="shared" ref="E96:N96" si="27">IF(OR(E62="NA",E65="NA",E66="NA",E67="NA"),"NA",-SUM(E62)+SUM(E65)+SUM(E66)+SUM(E67))</f>
        <v>0</v>
      </c>
      <c r="F96" s="243">
        <f t="shared" si="27"/>
        <v>0</v>
      </c>
      <c r="G96" s="243">
        <f t="shared" si="27"/>
        <v>0</v>
      </c>
      <c r="H96" s="243">
        <f t="shared" si="27"/>
        <v>0</v>
      </c>
      <c r="I96" s="243">
        <f t="shared" si="27"/>
        <v>0</v>
      </c>
      <c r="J96" s="243">
        <f t="shared" si="27"/>
        <v>0</v>
      </c>
      <c r="K96" s="243">
        <f t="shared" si="27"/>
        <v>0</v>
      </c>
      <c r="L96" s="243">
        <f t="shared" si="27"/>
        <v>0</v>
      </c>
      <c r="M96" s="243">
        <f t="shared" si="27"/>
        <v>0</v>
      </c>
      <c r="N96" s="243">
        <f t="shared" si="27"/>
        <v>0</v>
      </c>
      <c r="O96" s="202"/>
      <c r="P96" s="202"/>
      <c r="Q96" s="202"/>
    </row>
    <row r="97" spans="2:17" ht="10.35" customHeight="1" x14ac:dyDescent="0.2">
      <c r="B97" s="731"/>
      <c r="C97" s="728" t="s">
        <v>896</v>
      </c>
      <c r="D97" s="207" t="s">
        <v>48</v>
      </c>
      <c r="E97" s="243">
        <f t="shared" ref="E97:N97" si="28">IF(OR(E62="NA",E68="NA",E69="NA"),"NA",-SUM(E62)+SUM(E68)+SUM(E69))</f>
        <v>0</v>
      </c>
      <c r="F97" s="243">
        <f t="shared" si="28"/>
        <v>0</v>
      </c>
      <c r="G97" s="243">
        <f t="shared" si="28"/>
        <v>0</v>
      </c>
      <c r="H97" s="243">
        <f t="shared" si="28"/>
        <v>0</v>
      </c>
      <c r="I97" s="243">
        <f t="shared" si="28"/>
        <v>0</v>
      </c>
      <c r="J97" s="243">
        <f t="shared" si="28"/>
        <v>0</v>
      </c>
      <c r="K97" s="243">
        <f t="shared" si="28"/>
        <v>0</v>
      </c>
      <c r="L97" s="243">
        <f t="shared" si="28"/>
        <v>0</v>
      </c>
      <c r="M97" s="243">
        <f t="shared" si="28"/>
        <v>0</v>
      </c>
      <c r="N97" s="243">
        <f t="shared" si="28"/>
        <v>0</v>
      </c>
      <c r="O97" s="202"/>
      <c r="P97" s="202"/>
      <c r="Q97" s="202"/>
    </row>
    <row r="98" spans="2:17" ht="10.35" customHeight="1" x14ac:dyDescent="0.2">
      <c r="B98" s="732"/>
      <c r="C98" s="730" t="s">
        <v>897</v>
      </c>
      <c r="D98" s="208" t="s">
        <v>48</v>
      </c>
      <c r="E98" s="244">
        <f t="shared" ref="E98:N98" si="29">IF(OR(E62="NA",E70="NA",E71="NA"),"NA",-SUM(E62)+SUM(E70)+SUM(E71))</f>
        <v>0</v>
      </c>
      <c r="F98" s="244">
        <f t="shared" si="29"/>
        <v>0</v>
      </c>
      <c r="G98" s="244">
        <f t="shared" si="29"/>
        <v>0</v>
      </c>
      <c r="H98" s="244">
        <f t="shared" si="29"/>
        <v>0</v>
      </c>
      <c r="I98" s="244">
        <f t="shared" si="29"/>
        <v>0</v>
      </c>
      <c r="J98" s="244">
        <f t="shared" si="29"/>
        <v>0</v>
      </c>
      <c r="K98" s="244">
        <f t="shared" si="29"/>
        <v>0</v>
      </c>
      <c r="L98" s="244">
        <f t="shared" si="29"/>
        <v>0</v>
      </c>
      <c r="M98" s="244">
        <f t="shared" si="29"/>
        <v>0</v>
      </c>
      <c r="N98" s="244">
        <f t="shared" si="29"/>
        <v>0</v>
      </c>
      <c r="O98" s="202"/>
      <c r="P98" s="202"/>
      <c r="Q98" s="202"/>
    </row>
    <row r="99" spans="2:17" s="103" customFormat="1" ht="10.9" customHeight="1" x14ac:dyDescent="0.15">
      <c r="B99" s="697" t="s">
        <v>2777</v>
      </c>
      <c r="C99" s="714"/>
      <c r="E99" s="212"/>
      <c r="F99" s="212"/>
      <c r="G99" s="212"/>
      <c r="H99" s="212"/>
      <c r="I99" s="212"/>
      <c r="J99" s="212"/>
      <c r="K99" s="212"/>
      <c r="L99" s="212"/>
      <c r="M99" s="212"/>
      <c r="N99" s="212"/>
      <c r="O99" s="191"/>
      <c r="P99" s="191"/>
      <c r="Q99" s="191"/>
    </row>
    <row r="100" spans="2:17" s="103" customFormat="1" ht="10.9" customHeight="1" x14ac:dyDescent="0.15">
      <c r="B100" s="697"/>
      <c r="C100" s="698" t="s">
        <v>2840</v>
      </c>
      <c r="E100" s="212"/>
      <c r="F100" s="212"/>
      <c r="G100" s="212"/>
      <c r="H100" s="212"/>
      <c r="I100" s="212"/>
      <c r="J100" s="212"/>
      <c r="K100" s="212"/>
      <c r="L100" s="212"/>
      <c r="M100" s="212"/>
      <c r="N100" s="212"/>
      <c r="O100" s="191"/>
      <c r="P100" s="191"/>
      <c r="Q100" s="191"/>
    </row>
    <row r="101" spans="2:17" s="103" customFormat="1" ht="10.9" customHeight="1" x14ac:dyDescent="0.15">
      <c r="B101" s="733"/>
      <c r="C101" s="734" t="s">
        <v>3252</v>
      </c>
      <c r="E101" s="215"/>
      <c r="F101" s="215"/>
      <c r="G101" s="203" t="str">
        <f>IF(OR(G10="NA"),"NA",IF(ROUND(SUM(G10),1)=0,"si","verificar!"))</f>
        <v>si</v>
      </c>
      <c r="H101" s="741"/>
      <c r="I101" s="741"/>
      <c r="J101" s="741"/>
      <c r="K101" s="741"/>
      <c r="L101" s="203" t="str">
        <f>IF(OR(L10="NA"),"NA",IF(ROUND(SUM(L10),1)=0,"si","verificar!"))</f>
        <v>si</v>
      </c>
      <c r="M101" s="215"/>
      <c r="N101" s="215"/>
      <c r="O101" s="191"/>
      <c r="P101" s="191"/>
      <c r="Q101" s="191"/>
    </row>
    <row r="102" spans="2:17" s="103" customFormat="1" ht="10.9" customHeight="1" x14ac:dyDescent="0.15">
      <c r="B102" s="733"/>
      <c r="C102" s="734" t="s">
        <v>3253</v>
      </c>
      <c r="E102" s="215"/>
      <c r="F102" s="215"/>
      <c r="G102" s="203" t="str">
        <f>IF(OR(G20="NA"),"NA",IF(ROUND(G20,1)=0,"si","verificar!"))</f>
        <v>si</v>
      </c>
      <c r="H102" s="741"/>
      <c r="I102" s="741"/>
      <c r="J102" s="741"/>
      <c r="K102" s="741"/>
      <c r="L102" s="203" t="str">
        <f>IF(OR(L20="NA"),"NA",IF(ROUND(L20,1)=0,"si","verificar!"))</f>
        <v>si</v>
      </c>
      <c r="M102" s="215"/>
      <c r="N102" s="215"/>
      <c r="O102" s="191"/>
      <c r="P102" s="191"/>
      <c r="Q102" s="191"/>
    </row>
    <row r="103" spans="2:17" s="103" customFormat="1" ht="10.9" customHeight="1" x14ac:dyDescent="0.15">
      <c r="B103" s="733"/>
      <c r="C103" s="734" t="s">
        <v>3254</v>
      </c>
      <c r="E103" s="215"/>
      <c r="F103" s="215"/>
      <c r="G103" s="203" t="str">
        <f>IF(OR(G30="NA"),"NA",IF(ROUND(G30,1)=0,"si","verificar!"))</f>
        <v>si</v>
      </c>
      <c r="H103" s="741"/>
      <c r="I103" s="741"/>
      <c r="J103" s="741"/>
      <c r="K103" s="741"/>
      <c r="L103" s="203" t="str">
        <f>IF(OR(L30="NA"),"NA",IF(ROUND(L30,1)=0,"si","verificar!"))</f>
        <v>si</v>
      </c>
      <c r="M103" s="215"/>
      <c r="N103" s="215"/>
      <c r="O103" s="191"/>
      <c r="P103" s="191"/>
      <c r="Q103" s="191"/>
    </row>
    <row r="104" spans="2:17" s="103" customFormat="1" ht="10.9" customHeight="1" x14ac:dyDescent="0.15">
      <c r="B104" s="733"/>
      <c r="C104" s="734" t="s">
        <v>3255</v>
      </c>
      <c r="E104" s="215"/>
      <c r="F104" s="215"/>
      <c r="G104" s="203" t="str">
        <f>IF(OR(G42="NA"),"NA",IF(ROUND(G42,1)=0,"si","verificar!"))</f>
        <v>si</v>
      </c>
      <c r="H104" s="741"/>
      <c r="I104" s="741"/>
      <c r="J104" s="741"/>
      <c r="K104" s="741"/>
      <c r="L104" s="203" t="str">
        <f>IF(OR(L42="NA"),"NA",IF(ROUND(L42,1)=0,"si","verificar!"))</f>
        <v>si</v>
      </c>
      <c r="M104" s="215"/>
      <c r="N104" s="215"/>
      <c r="O104" s="191"/>
      <c r="P104" s="191"/>
      <c r="Q104" s="191"/>
    </row>
    <row r="105" spans="2:17" s="103" customFormat="1" ht="10.9" customHeight="1" x14ac:dyDescent="0.15">
      <c r="B105" s="733"/>
      <c r="C105" s="734" t="s">
        <v>3256</v>
      </c>
      <c r="E105" s="215"/>
      <c r="F105" s="215"/>
      <c r="G105" s="203" t="str">
        <f>IF(OR(G54="NA"),"NA",IF(ROUND(G54,1)=0,"si","verificar!"))</f>
        <v>si</v>
      </c>
      <c r="H105" s="741"/>
      <c r="I105" s="741"/>
      <c r="J105" s="741"/>
      <c r="K105" s="741"/>
      <c r="L105" s="203" t="str">
        <f>IF(OR(L54="NA"),"NA",IF(ROUND(L54,1)=0,"si","verificar!"))</f>
        <v>si</v>
      </c>
      <c r="M105" s="215"/>
      <c r="N105" s="215"/>
      <c r="O105" s="191"/>
      <c r="P105" s="191"/>
      <c r="Q105" s="191"/>
    </row>
    <row r="106" spans="2:17" s="103" customFormat="1" ht="10.9" customHeight="1" x14ac:dyDescent="0.15">
      <c r="B106" s="733"/>
      <c r="C106" s="734" t="s">
        <v>3257</v>
      </c>
      <c r="E106" s="215"/>
      <c r="F106" s="215"/>
      <c r="G106" s="203" t="str">
        <f>IF(OR(G64="NA"),"NA",IF(ROUND(G64,1)=0,"si","verificar!"))</f>
        <v>si</v>
      </c>
      <c r="H106" s="741"/>
      <c r="I106" s="741"/>
      <c r="J106" s="741"/>
      <c r="K106" s="741"/>
      <c r="L106" s="203" t="str">
        <f>IF(OR(L64="NA"),"NA",IF(ROUND(L64,1)=0,"si","verificar!"))</f>
        <v>si</v>
      </c>
      <c r="M106" s="215"/>
      <c r="N106" s="215"/>
      <c r="O106" s="191"/>
      <c r="P106" s="191"/>
      <c r="Q106" s="191"/>
    </row>
    <row r="107" spans="2:17" ht="10.35" customHeight="1" x14ac:dyDescent="0.2">
      <c r="B107" s="276"/>
      <c r="C107" s="94"/>
      <c r="D107" s="94" t="s">
        <v>48</v>
      </c>
      <c r="E107" s="245"/>
      <c r="F107" s="245"/>
      <c r="G107" s="245"/>
      <c r="H107" s="245"/>
      <c r="I107" s="245"/>
      <c r="J107" s="245"/>
      <c r="K107" s="277"/>
      <c r="L107" s="277"/>
      <c r="M107" s="277"/>
      <c r="N107" s="277"/>
      <c r="O107" s="202"/>
      <c r="P107" s="202"/>
      <c r="Q107" s="202"/>
    </row>
    <row r="108" spans="2:17" ht="10.35" customHeight="1" x14ac:dyDescent="0.2">
      <c r="B108" s="210"/>
      <c r="C108" s="136"/>
      <c r="D108" s="207" t="s">
        <v>48</v>
      </c>
      <c r="E108" s="289"/>
      <c r="F108" s="289"/>
      <c r="G108" s="289"/>
      <c r="H108" s="289"/>
      <c r="I108" s="289"/>
      <c r="J108" s="289"/>
      <c r="K108" s="290"/>
      <c r="L108" s="290"/>
      <c r="M108" s="290"/>
      <c r="N108" s="290"/>
    </row>
    <row r="109" spans="2:17" ht="10.35" customHeight="1" x14ac:dyDescent="0.2"/>
    <row r="110" spans="2:17" ht="10.35" customHeight="1" x14ac:dyDescent="0.2"/>
    <row r="111" spans="2:17" ht="10.35" customHeight="1" x14ac:dyDescent="0.2"/>
    <row r="112" spans="2:17" ht="10.35" customHeight="1" x14ac:dyDescent="0.2"/>
    <row r="113" spans="10:10" ht="10.35" customHeight="1" x14ac:dyDescent="0.2"/>
    <row r="114" spans="10:10" ht="10.35" customHeight="1" x14ac:dyDescent="0.2"/>
    <row r="115" spans="10:10" ht="10.35" customHeight="1" x14ac:dyDescent="0.2"/>
    <row r="116" spans="10:10" ht="10.35" customHeight="1" x14ac:dyDescent="0.2"/>
    <row r="117" spans="10:10" ht="10.35" customHeight="1" x14ac:dyDescent="0.2"/>
    <row r="118" spans="10:10" ht="10.35" customHeight="1" x14ac:dyDescent="0.2"/>
    <row r="119" spans="10:10" ht="10.35" customHeight="1" x14ac:dyDescent="0.2"/>
    <row r="120" spans="10:10" ht="10.35" customHeight="1" x14ac:dyDescent="0.2"/>
    <row r="121" spans="10:10" ht="10.35" customHeight="1" x14ac:dyDescent="0.2">
      <c r="J121" s="638"/>
    </row>
    <row r="122" spans="10:10" ht="10.35" customHeight="1" x14ac:dyDescent="0.2"/>
    <row r="123" spans="10:10" ht="10.35" customHeight="1" x14ac:dyDescent="0.2"/>
    <row r="124" spans="10:10" ht="10.35" customHeight="1" x14ac:dyDescent="0.2"/>
    <row r="125" spans="10:10" ht="10.35" customHeight="1" x14ac:dyDescent="0.2"/>
    <row r="126" spans="10:10" ht="10.35" customHeight="1" x14ac:dyDescent="0.2"/>
    <row r="127" spans="10:10" ht="10.35" customHeight="1" x14ac:dyDescent="0.2"/>
    <row r="128" spans="10:10" ht="10.35" customHeight="1" x14ac:dyDescent="0.2"/>
  </sheetData>
  <sheetProtection password="EECE" sheet="1" objects="1" scenarios="1" formatCells="0" formatColumns="0" formatRows="0"/>
  <customSheetViews>
    <customSheetView guid="{C3088B2E-F853-4D7E-B687-C6500891DFCB}" scale="110" showPageBreaks="1" fitToPage="1" printArea="1">
      <pane xSplit="3" ySplit="6" topLeftCell="D7" activePane="bottomRight" state="frozen"/>
      <selection pane="bottomRight"/>
      <pageMargins left="0.7" right="0.7" top="0.75" bottom="0.75" header="0.3" footer="0.3"/>
      <pageSetup scale="78" fitToHeight="0" orientation="landscape" r:id="rId1"/>
    </customSheetView>
    <customSheetView guid="{F866C9B2-56BF-4FE4-B270-CC8FE15A5892}" scale="110" showPageBreaks="1" fitToPage="1" printArea="1">
      <pane xSplit="2" ySplit="6" topLeftCell="D7" activePane="bottomRight" state="frozen"/>
      <selection pane="bottomRight"/>
      <pageMargins left="0.7" right="0.7" top="0.75" bottom="0.75" header="0.3" footer="0.3"/>
      <pageSetup scale="77" fitToHeight="0" orientation="landscape" r:id="rId2"/>
    </customSheetView>
    <customSheetView guid="{D66484CB-9D53-43A1-A83D-11534BC40BF6}" scale="110" showPageBreaks="1" fitToPage="1" printArea="1">
      <pane xSplit="3" ySplit="6" topLeftCell="D7" activePane="bottomRight" state="frozen"/>
      <selection pane="bottomRight" activeCell="D7" sqref="D7"/>
      <pageMargins left="0.7" right="0.7" top="0.75" bottom="0.75" header="0.3" footer="0.3"/>
      <pageSetup scale="77" fitToHeight="0" orientation="landscape" r:id="rId3"/>
    </customSheetView>
  </customSheetViews>
  <mergeCells count="12">
    <mergeCell ref="B4:C5"/>
    <mergeCell ref="E4:H4"/>
    <mergeCell ref="I4:I5"/>
    <mergeCell ref="J4:J5"/>
    <mergeCell ref="K4:K5"/>
    <mergeCell ref="G1:M1"/>
    <mergeCell ref="N3:N5"/>
    <mergeCell ref="M4:M5"/>
    <mergeCell ref="P4:Q4"/>
    <mergeCell ref="G3:H3"/>
    <mergeCell ref="F2:N2"/>
    <mergeCell ref="L4:L5"/>
  </mergeCells>
  <conditionalFormatting sqref="P8:Q71">
    <cfRule type="containsText" dxfId="85" priority="7" operator="containsText" text="NA">
      <formula>NOT(ISERROR(SEARCH("NA",P8)))</formula>
    </cfRule>
    <cfRule type="cellIs" dxfId="84" priority="8" operator="between">
      <formula>-0.1</formula>
      <formula>0.1</formula>
    </cfRule>
    <cfRule type="containsText" dxfId="83" priority="20" operator="containsText" text="NV">
      <formula>NOT(ISERROR(SEARCH("NV",P8)))</formula>
    </cfRule>
    <cfRule type="cellIs" dxfId="82" priority="24" operator="lessThan">
      <formula>-0.5</formula>
    </cfRule>
    <cfRule type="cellIs" dxfId="81" priority="25" operator="greaterThan">
      <formula>0.5</formula>
    </cfRule>
  </conditionalFormatting>
  <conditionalFormatting sqref="E99:N100 E107:N107 E101:F106 M101:N106">
    <cfRule type="containsText" dxfId="80" priority="18" operator="containsText" text="Vérifier">
      <formula>NOT(ISERROR(SEARCH("Vérifier",E99)))</formula>
    </cfRule>
  </conditionalFormatting>
  <conditionalFormatting sqref="E75:N98">
    <cfRule type="containsText" dxfId="79" priority="9" operator="containsText" text="NA">
      <formula>NOT(ISERROR(SEARCH("NA",E75)))</formula>
    </cfRule>
    <cfRule type="cellIs" dxfId="78" priority="10" operator="between">
      <formula>-0.1</formula>
      <formula>0.1</formula>
    </cfRule>
    <cfRule type="cellIs" dxfId="77" priority="11" operator="lessThan">
      <formula>-0.1</formula>
    </cfRule>
    <cfRule type="cellIs" dxfId="76" priority="12" operator="greaterThan">
      <formula>0.1</formula>
    </cfRule>
  </conditionalFormatting>
  <conditionalFormatting sqref="G101:L106">
    <cfRule type="containsText" dxfId="75" priority="1" operator="containsText" text="v">
      <formula>NOT(ISERROR(SEARCH("v",G101)))</formula>
    </cfRule>
    <cfRule type="containsText" dxfId="74" priority="2" operator="containsText" text="verificar">
      <formula>NOT(ISERROR(SEARCH("verificar",G101)))</formula>
    </cfRule>
    <cfRule type="containsText" dxfId="73" priority="3" operator="containsText" text="si">
      <formula>NOT(ISERROR(SEARCH("si",G101)))</formula>
    </cfRule>
    <cfRule type="containsText" dxfId="72" priority="4" operator="containsText" text="NV">
      <formula>NOT(ISERROR(SEARCH("NV",G101)))</formula>
    </cfRule>
    <cfRule type="containsText" dxfId="71" priority="5" operator="containsText" text="check">
      <formula>NOT(ISERROR(SEARCH("check",G101)))</formula>
    </cfRule>
  </conditionalFormatting>
  <pageMargins left="0.7" right="0.7" top="0.75" bottom="0.75" header="0.3" footer="0.3"/>
  <pageSetup scale="77" fitToHeight="0" orientation="landscape" r:id="rId4"/>
  <legacyDrawing r:id="rId5"/>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indexed="52"/>
    <pageSetUpPr fitToPage="1"/>
  </sheetPr>
  <dimension ref="A1:Q166"/>
  <sheetViews>
    <sheetView workbookViewId="0">
      <pane xSplit="4" ySplit="7" topLeftCell="E8" activePane="bottomRight" state="frozen"/>
      <selection activeCell="Q53" sqref="P8:Q53"/>
      <selection pane="topRight" activeCell="Q53" sqref="P8:Q53"/>
      <selection pane="bottomLeft" activeCell="Q53" sqref="P8:Q53"/>
      <selection pane="bottomRight" activeCell="E8" sqref="E8"/>
    </sheetView>
  </sheetViews>
  <sheetFormatPr baseColWidth="10" defaultColWidth="9.140625" defaultRowHeight="12.75" x14ac:dyDescent="0.2"/>
  <cols>
    <col min="1" max="1" width="12.85546875" style="164" hidden="1" customWidth="1"/>
    <col min="2" max="2" width="7.28515625" style="221" customWidth="1"/>
    <col min="3" max="3" width="50.7109375" style="164" customWidth="1"/>
    <col min="4" max="4" width="0.85546875" style="164" customWidth="1"/>
    <col min="5" max="14" width="10" style="164" customWidth="1"/>
    <col min="15" max="15" width="3.28515625" style="164" customWidth="1"/>
    <col min="16" max="17" width="11.7109375" style="164" customWidth="1"/>
    <col min="18" max="18" width="9.140625" style="164" customWidth="1"/>
    <col min="19" max="16384" width="9.140625" style="164"/>
  </cols>
  <sheetData>
    <row r="1" spans="1:17" ht="14.25" x14ac:dyDescent="0.25">
      <c r="B1" s="513" t="str">
        <f>+Coverpage!A1</f>
        <v>GFSM2014_V1.5</v>
      </c>
      <c r="C1" s="514"/>
      <c r="D1" s="515"/>
      <c r="E1" s="516"/>
      <c r="F1" s="517"/>
      <c r="G1" s="771" t="str">
        <f>Reporting_Country_Name</f>
        <v>Colombia</v>
      </c>
      <c r="H1" s="771"/>
      <c r="I1" s="771"/>
      <c r="J1" s="771"/>
      <c r="K1" s="771"/>
      <c r="L1" s="771"/>
      <c r="M1" s="771"/>
      <c r="N1" s="661" t="str">
        <f>Reporting_Country_Code</f>
        <v>233</v>
      </c>
      <c r="O1" s="519"/>
      <c r="P1" s="653" t="s">
        <v>2731</v>
      </c>
      <c r="Q1" s="654"/>
    </row>
    <row r="2" spans="1:17" ht="14.25" x14ac:dyDescent="0.25">
      <c r="B2" s="513" t="s">
        <v>3259</v>
      </c>
      <c r="C2" s="582"/>
      <c r="D2" s="583"/>
      <c r="E2" s="523"/>
      <c r="F2" s="780" t="str">
        <f>"En "&amp;Coverpage!$I$15&amp;" de "&amp;Coverpage!$I$14&amp;" / El año fiscal termina en "&amp;Coverpage!$I$11&amp;" "&amp;Coverpage!$I$12</f>
        <v xml:space="preserve">En Billion de Colombian Pesos (COP) / El año fiscal termina en  </v>
      </c>
      <c r="G2" s="781"/>
      <c r="H2" s="781"/>
      <c r="I2" s="781"/>
      <c r="J2" s="781"/>
      <c r="K2" s="781"/>
      <c r="L2" s="781"/>
      <c r="M2" s="781"/>
      <c r="N2" s="781"/>
      <c r="O2" s="519"/>
      <c r="P2" s="655" t="s">
        <v>2732</v>
      </c>
      <c r="Q2" s="656"/>
    </row>
    <row r="3" spans="1:17" ht="12" customHeight="1" x14ac:dyDescent="0.25">
      <c r="B3" s="524"/>
      <c r="C3" s="525"/>
      <c r="D3" s="526"/>
      <c r="E3" s="527"/>
      <c r="F3" s="528"/>
      <c r="G3" s="784" t="s">
        <v>2726</v>
      </c>
      <c r="H3" s="784"/>
      <c r="I3" s="529" t="str">
        <f>Reporting_Period_Code</f>
        <v>2016</v>
      </c>
      <c r="J3" s="529"/>
      <c r="K3" s="528"/>
      <c r="L3" s="528"/>
      <c r="M3" s="530"/>
      <c r="N3" s="790" t="s">
        <v>2723</v>
      </c>
      <c r="O3" s="531"/>
      <c r="P3" s="168"/>
      <c r="Q3" s="168"/>
    </row>
    <row r="4" spans="1:17" ht="12" customHeight="1" x14ac:dyDescent="0.2">
      <c r="B4" s="796" t="s">
        <v>3258</v>
      </c>
      <c r="C4" s="797"/>
      <c r="D4" s="532"/>
      <c r="E4" s="787" t="s">
        <v>2727</v>
      </c>
      <c r="F4" s="788"/>
      <c r="G4" s="788"/>
      <c r="H4" s="789"/>
      <c r="I4" s="790" t="s">
        <v>2719</v>
      </c>
      <c r="J4" s="790" t="s">
        <v>2720</v>
      </c>
      <c r="K4" s="792" t="s">
        <v>2721</v>
      </c>
      <c r="L4" s="790" t="s">
        <v>2728</v>
      </c>
      <c r="M4" s="793" t="s">
        <v>2722</v>
      </c>
      <c r="N4" s="791"/>
      <c r="O4" s="531"/>
      <c r="P4" s="778" t="s">
        <v>2733</v>
      </c>
      <c r="Q4" s="779"/>
    </row>
    <row r="5" spans="1:17" ht="30" customHeight="1" x14ac:dyDescent="0.2">
      <c r="B5" s="796"/>
      <c r="C5" s="797"/>
      <c r="D5" s="532"/>
      <c r="E5" s="711" t="s">
        <v>2729</v>
      </c>
      <c r="F5" s="712" t="s">
        <v>2813</v>
      </c>
      <c r="G5" s="712" t="s">
        <v>2728</v>
      </c>
      <c r="H5" s="713" t="s">
        <v>2718</v>
      </c>
      <c r="I5" s="791"/>
      <c r="J5" s="791"/>
      <c r="K5" s="792"/>
      <c r="L5" s="791"/>
      <c r="M5" s="793"/>
      <c r="N5" s="791"/>
      <c r="O5" s="531"/>
      <c r="P5" s="668" t="s">
        <v>2734</v>
      </c>
      <c r="Q5" s="669" t="s">
        <v>2735</v>
      </c>
    </row>
    <row r="6" spans="1:17" ht="30" hidden="1" customHeight="1" x14ac:dyDescent="0.2">
      <c r="B6" s="618"/>
      <c r="C6" s="619"/>
      <c r="D6" s="532"/>
      <c r="E6" s="533" t="s">
        <v>1562</v>
      </c>
      <c r="F6" s="534" t="s">
        <v>1563</v>
      </c>
      <c r="G6" s="534" t="s">
        <v>1575</v>
      </c>
      <c r="H6" s="535" t="s">
        <v>634</v>
      </c>
      <c r="I6" s="535" t="s">
        <v>1564</v>
      </c>
      <c r="J6" s="534" t="s">
        <v>1574</v>
      </c>
      <c r="K6" s="535" t="s">
        <v>637</v>
      </c>
      <c r="L6" s="534" t="s">
        <v>1576</v>
      </c>
      <c r="M6" s="574" t="s">
        <v>1565</v>
      </c>
      <c r="N6" s="574" t="s">
        <v>1577</v>
      </c>
      <c r="O6" s="531"/>
      <c r="P6" s="169"/>
      <c r="Q6" s="170"/>
    </row>
    <row r="7" spans="1:17" ht="10.5" customHeight="1" x14ac:dyDescent="0.2">
      <c r="A7" s="143"/>
      <c r="B7" s="536"/>
      <c r="C7" s="537"/>
      <c r="D7" s="537"/>
      <c r="E7" s="538" t="s">
        <v>632</v>
      </c>
      <c r="F7" s="539" t="s">
        <v>633</v>
      </c>
      <c r="G7" s="540" t="s">
        <v>155</v>
      </c>
      <c r="H7" s="539" t="s">
        <v>634</v>
      </c>
      <c r="I7" s="540" t="s">
        <v>635</v>
      </c>
      <c r="J7" s="539" t="s">
        <v>636</v>
      </c>
      <c r="K7" s="540" t="s">
        <v>637</v>
      </c>
      <c r="L7" s="539" t="s">
        <v>156</v>
      </c>
      <c r="M7" s="541" t="s">
        <v>638</v>
      </c>
      <c r="N7" s="541" t="s">
        <v>639</v>
      </c>
      <c r="O7" s="531"/>
      <c r="P7" s="171" t="s">
        <v>640</v>
      </c>
      <c r="Q7" s="172" t="s">
        <v>641</v>
      </c>
    </row>
    <row r="8" spans="1:17" ht="15" customHeight="1" x14ac:dyDescent="0.2">
      <c r="A8" s="143" t="s">
        <v>1868</v>
      </c>
      <c r="B8" s="594" t="s">
        <v>63</v>
      </c>
      <c r="C8" s="600" t="s">
        <v>3260</v>
      </c>
      <c r="D8" s="553" t="s">
        <v>48</v>
      </c>
      <c r="E8" s="144" t="str">
        <f t="shared" ref="E8:N8" si="0">IF(OR(E9="NA",E18="NA",E24="NA",E31="NA",E41="NA",E48="NA",E55="NA",E62="NA",E69="NA",E78="NA"),"NA",IF(AND(E9="",E18="",E24="",E31="",E41="",E48="",E55="",E62="",E69="",E78=""),"",SUM(E9)+SUM(E18)+SUM(E24)+SUM(E31)+SUM(E41)+SUM(E48)+SUM(E55)+SUM(E62)+SUM(E69)+SUM(E78)))</f>
        <v/>
      </c>
      <c r="F8" s="144" t="str">
        <f t="shared" si="0"/>
        <v/>
      </c>
      <c r="G8" s="144" t="str">
        <f t="shared" si="0"/>
        <v/>
      </c>
      <c r="H8" s="144" t="str">
        <f t="shared" si="0"/>
        <v/>
      </c>
      <c r="I8" s="144" t="str">
        <f t="shared" si="0"/>
        <v/>
      </c>
      <c r="J8" s="144" t="str">
        <f t="shared" si="0"/>
        <v/>
      </c>
      <c r="K8" s="144" t="str">
        <f t="shared" si="0"/>
        <v/>
      </c>
      <c r="L8" s="144" t="str">
        <f t="shared" si="0"/>
        <v/>
      </c>
      <c r="M8" s="144" t="str">
        <f t="shared" si="0"/>
        <v/>
      </c>
      <c r="N8" s="144" t="str">
        <f t="shared" si="0"/>
        <v/>
      </c>
      <c r="O8" s="581"/>
      <c r="P8" s="268">
        <f t="shared" ref="P8:P39" si="1">IF(OR(H8="NA",E8="NA",F8="NA",G8="NA"),"NA",SUM(H8)-SUM(E8:G8))</f>
        <v>0</v>
      </c>
      <c r="Q8" s="269">
        <f t="shared" ref="Q8:Q39" si="2">IF(OR(M8="NA",H8="NA",I8="NA",J8="NA",K8="NA",L8="NA"),"NA",SUM(M8)-SUM(H8:L8))</f>
        <v>0</v>
      </c>
    </row>
    <row r="9" spans="1:17" ht="15" customHeight="1" x14ac:dyDescent="0.25">
      <c r="A9" s="143" t="s">
        <v>1869</v>
      </c>
      <c r="B9" s="547" t="s">
        <v>1273</v>
      </c>
      <c r="C9" s="601" t="s">
        <v>3261</v>
      </c>
      <c r="D9" s="532" t="s">
        <v>48</v>
      </c>
      <c r="E9" s="90" t="str">
        <f t="shared" ref="E9:N9" si="3">IF(OR(E10="NA",E11="NA",E12="NA",E13="NA",E14="NA",E15="NA",E16="NA",E17="NA"),"NA",IF(AND(E10="",E11="",E12="",E13="",E14="",E15="",E16="",E17=""),"",SUM(E10:E17)))</f>
        <v/>
      </c>
      <c r="F9" s="90" t="str">
        <f t="shared" si="3"/>
        <v/>
      </c>
      <c r="G9" s="90" t="str">
        <f t="shared" si="3"/>
        <v/>
      </c>
      <c r="H9" s="90" t="str">
        <f t="shared" si="3"/>
        <v/>
      </c>
      <c r="I9" s="90" t="str">
        <f t="shared" si="3"/>
        <v/>
      </c>
      <c r="J9" s="90" t="str">
        <f t="shared" si="3"/>
        <v/>
      </c>
      <c r="K9" s="90" t="str">
        <f t="shared" si="3"/>
        <v/>
      </c>
      <c r="L9" s="90" t="str">
        <f t="shared" si="3"/>
        <v/>
      </c>
      <c r="M9" s="90" t="str">
        <f t="shared" si="3"/>
        <v/>
      </c>
      <c r="N9" s="90" t="str">
        <f t="shared" si="3"/>
        <v/>
      </c>
      <c r="O9" s="546"/>
      <c r="P9" s="178">
        <f t="shared" si="1"/>
        <v>0</v>
      </c>
      <c r="Q9" s="179">
        <f t="shared" si="2"/>
        <v>0</v>
      </c>
    </row>
    <row r="10" spans="1:17" ht="10.5" customHeight="1" x14ac:dyDescent="0.25">
      <c r="A10" s="143" t="s">
        <v>2193</v>
      </c>
      <c r="B10" s="549" t="s">
        <v>311</v>
      </c>
      <c r="C10" s="602" t="s">
        <v>3262</v>
      </c>
      <c r="D10" s="611" t="s">
        <v>48</v>
      </c>
      <c r="E10" s="89"/>
      <c r="F10" s="89"/>
      <c r="G10" s="89"/>
      <c r="H10" s="93" t="str">
        <f t="shared" ref="H10:H17" si="4">IF(OR(E10="NA",F10="NA",G10="NA"),"NA",IF(AND(E10="",F10="",G10=""),"",SUM(E10:G10)))</f>
        <v/>
      </c>
      <c r="I10" s="89"/>
      <c r="J10" s="89"/>
      <c r="K10" s="89"/>
      <c r="L10" s="89"/>
      <c r="M10" s="91" t="str">
        <f t="shared" ref="M10:M17" si="5">IF(OR(H10="NA",I10="NA",J10="NA",K10="NA",L10="NA"),"NA",IF(AND(H10="",I10="",J10="",K10="",L10=""),"",SUM(H10:L10)))</f>
        <v/>
      </c>
      <c r="N10" s="89"/>
      <c r="O10" s="546"/>
      <c r="P10" s="178">
        <f t="shared" si="1"/>
        <v>0</v>
      </c>
      <c r="Q10" s="179">
        <f t="shared" si="2"/>
        <v>0</v>
      </c>
    </row>
    <row r="11" spans="1:17" ht="10.5" customHeight="1" x14ac:dyDescent="0.25">
      <c r="A11" s="143" t="s">
        <v>2194</v>
      </c>
      <c r="B11" s="549" t="s">
        <v>312</v>
      </c>
      <c r="C11" s="602" t="s">
        <v>3263</v>
      </c>
      <c r="D11" s="611" t="s">
        <v>48</v>
      </c>
      <c r="E11" s="89"/>
      <c r="F11" s="89"/>
      <c r="G11" s="89"/>
      <c r="H11" s="93" t="str">
        <f t="shared" si="4"/>
        <v/>
      </c>
      <c r="I11" s="89"/>
      <c r="J11" s="89"/>
      <c r="K11" s="89"/>
      <c r="L11" s="89"/>
      <c r="M11" s="91" t="str">
        <f t="shared" si="5"/>
        <v/>
      </c>
      <c r="N11" s="89"/>
      <c r="O11" s="546"/>
      <c r="P11" s="178">
        <f t="shared" si="1"/>
        <v>0</v>
      </c>
      <c r="Q11" s="179">
        <f t="shared" si="2"/>
        <v>0</v>
      </c>
    </row>
    <row r="12" spans="1:17" ht="10.5" customHeight="1" x14ac:dyDescent="0.25">
      <c r="A12" s="143" t="s">
        <v>2195</v>
      </c>
      <c r="B12" s="549" t="s">
        <v>313</v>
      </c>
      <c r="C12" s="602" t="s">
        <v>3264</v>
      </c>
      <c r="D12" s="611" t="s">
        <v>48</v>
      </c>
      <c r="E12" s="89"/>
      <c r="F12" s="89"/>
      <c r="G12" s="89"/>
      <c r="H12" s="93" t="str">
        <f t="shared" si="4"/>
        <v/>
      </c>
      <c r="I12" s="89"/>
      <c r="J12" s="89"/>
      <c r="K12" s="89"/>
      <c r="L12" s="89"/>
      <c r="M12" s="91" t="str">
        <f t="shared" si="5"/>
        <v/>
      </c>
      <c r="N12" s="89"/>
      <c r="O12" s="546"/>
      <c r="P12" s="178">
        <f t="shared" si="1"/>
        <v>0</v>
      </c>
      <c r="Q12" s="179">
        <f t="shared" si="2"/>
        <v>0</v>
      </c>
    </row>
    <row r="13" spans="1:17" ht="10.5" customHeight="1" x14ac:dyDescent="0.25">
      <c r="A13" s="143" t="s">
        <v>2196</v>
      </c>
      <c r="B13" s="549" t="s">
        <v>314</v>
      </c>
      <c r="C13" s="602" t="s">
        <v>3265</v>
      </c>
      <c r="D13" s="611" t="s">
        <v>48</v>
      </c>
      <c r="E13" s="89"/>
      <c r="F13" s="89"/>
      <c r="G13" s="89"/>
      <c r="H13" s="93" t="str">
        <f t="shared" si="4"/>
        <v/>
      </c>
      <c r="I13" s="89"/>
      <c r="J13" s="89"/>
      <c r="K13" s="89"/>
      <c r="L13" s="89"/>
      <c r="M13" s="91" t="str">
        <f t="shared" si="5"/>
        <v/>
      </c>
      <c r="N13" s="89"/>
      <c r="O13" s="546"/>
      <c r="P13" s="178">
        <f t="shared" si="1"/>
        <v>0</v>
      </c>
      <c r="Q13" s="179">
        <f t="shared" si="2"/>
        <v>0</v>
      </c>
    </row>
    <row r="14" spans="1:17" ht="10.5" customHeight="1" x14ac:dyDescent="0.25">
      <c r="A14" s="143" t="s">
        <v>2197</v>
      </c>
      <c r="B14" s="549" t="s">
        <v>315</v>
      </c>
      <c r="C14" s="602" t="s">
        <v>3266</v>
      </c>
      <c r="D14" s="611" t="s">
        <v>48</v>
      </c>
      <c r="E14" s="89"/>
      <c r="F14" s="89"/>
      <c r="G14" s="89"/>
      <c r="H14" s="93" t="str">
        <f t="shared" si="4"/>
        <v/>
      </c>
      <c r="I14" s="89"/>
      <c r="J14" s="89"/>
      <c r="K14" s="89"/>
      <c r="L14" s="89"/>
      <c r="M14" s="91" t="str">
        <f t="shared" si="5"/>
        <v/>
      </c>
      <c r="N14" s="89"/>
      <c r="O14" s="546"/>
      <c r="P14" s="178">
        <f t="shared" si="1"/>
        <v>0</v>
      </c>
      <c r="Q14" s="179">
        <f t="shared" si="2"/>
        <v>0</v>
      </c>
    </row>
    <row r="15" spans="1:17" ht="10.5" customHeight="1" x14ac:dyDescent="0.25">
      <c r="A15" s="143" t="s">
        <v>2198</v>
      </c>
      <c r="B15" s="549" t="s">
        <v>316</v>
      </c>
      <c r="C15" s="602" t="s">
        <v>3267</v>
      </c>
      <c r="D15" s="611" t="s">
        <v>48</v>
      </c>
      <c r="E15" s="89"/>
      <c r="F15" s="89"/>
      <c r="G15" s="89"/>
      <c r="H15" s="93" t="str">
        <f t="shared" si="4"/>
        <v/>
      </c>
      <c r="I15" s="89"/>
      <c r="J15" s="89"/>
      <c r="K15" s="89"/>
      <c r="L15" s="89"/>
      <c r="M15" s="91" t="str">
        <f t="shared" si="5"/>
        <v/>
      </c>
      <c r="N15" s="89"/>
      <c r="O15" s="546"/>
      <c r="P15" s="178">
        <f t="shared" si="1"/>
        <v>0</v>
      </c>
      <c r="Q15" s="179">
        <f t="shared" si="2"/>
        <v>0</v>
      </c>
    </row>
    <row r="16" spans="1:17" ht="10.5" customHeight="1" x14ac:dyDescent="0.25">
      <c r="A16" s="143" t="s">
        <v>1870</v>
      </c>
      <c r="B16" s="549" t="s">
        <v>1274</v>
      </c>
      <c r="C16" s="602" t="s">
        <v>3268</v>
      </c>
      <c r="D16" s="611" t="s">
        <v>48</v>
      </c>
      <c r="E16" s="89"/>
      <c r="F16" s="89"/>
      <c r="G16" s="89"/>
      <c r="H16" s="93" t="str">
        <f t="shared" si="4"/>
        <v/>
      </c>
      <c r="I16" s="89"/>
      <c r="J16" s="89"/>
      <c r="K16" s="89"/>
      <c r="L16" s="89"/>
      <c r="M16" s="91" t="str">
        <f t="shared" si="5"/>
        <v/>
      </c>
      <c r="N16" s="89"/>
      <c r="O16" s="546"/>
      <c r="P16" s="178">
        <f t="shared" si="1"/>
        <v>0</v>
      </c>
      <c r="Q16" s="179">
        <f t="shared" si="2"/>
        <v>0</v>
      </c>
    </row>
    <row r="17" spans="1:17" ht="10.5" customHeight="1" x14ac:dyDescent="0.25">
      <c r="A17" s="143" t="s">
        <v>1871</v>
      </c>
      <c r="B17" s="551" t="s">
        <v>188</v>
      </c>
      <c r="C17" s="649" t="s">
        <v>3269</v>
      </c>
      <c r="D17" s="632" t="s">
        <v>48</v>
      </c>
      <c r="E17" s="148"/>
      <c r="F17" s="148"/>
      <c r="G17" s="148"/>
      <c r="H17" s="148" t="str">
        <f t="shared" si="4"/>
        <v/>
      </c>
      <c r="I17" s="148"/>
      <c r="J17" s="148"/>
      <c r="K17" s="148"/>
      <c r="L17" s="148"/>
      <c r="M17" s="148" t="str">
        <f t="shared" si="5"/>
        <v/>
      </c>
      <c r="N17" s="148"/>
      <c r="O17" s="546"/>
      <c r="P17" s="181">
        <f t="shared" si="1"/>
        <v>0</v>
      </c>
      <c r="Q17" s="182">
        <f t="shared" si="2"/>
        <v>0</v>
      </c>
    </row>
    <row r="18" spans="1:17" ht="15" customHeight="1" x14ac:dyDescent="0.25">
      <c r="A18" s="143" t="s">
        <v>1872</v>
      </c>
      <c r="B18" s="547" t="s">
        <v>1275</v>
      </c>
      <c r="C18" s="601" t="s">
        <v>3270</v>
      </c>
      <c r="D18" s="611" t="s">
        <v>48</v>
      </c>
      <c r="E18" s="90" t="str">
        <f t="shared" ref="E18:N18" si="6">IF(OR(E19="NA",E20="NA",E21="NA",E22="NA",E23="NA"),"NA",IF(AND(E19="",E20="",E21="",E22="",E23=""),"",SUM(E19:E23)))</f>
        <v/>
      </c>
      <c r="F18" s="90" t="str">
        <f t="shared" si="6"/>
        <v/>
      </c>
      <c r="G18" s="90" t="str">
        <f t="shared" si="6"/>
        <v/>
      </c>
      <c r="H18" s="90" t="str">
        <f t="shared" si="6"/>
        <v/>
      </c>
      <c r="I18" s="90" t="str">
        <f t="shared" si="6"/>
        <v/>
      </c>
      <c r="J18" s="90" t="str">
        <f t="shared" si="6"/>
        <v/>
      </c>
      <c r="K18" s="90" t="str">
        <f t="shared" si="6"/>
        <v/>
      </c>
      <c r="L18" s="90" t="str">
        <f t="shared" si="6"/>
        <v/>
      </c>
      <c r="M18" s="90" t="str">
        <f t="shared" si="6"/>
        <v/>
      </c>
      <c r="N18" s="90" t="str">
        <f t="shared" si="6"/>
        <v/>
      </c>
      <c r="O18" s="546"/>
      <c r="P18" s="178">
        <f t="shared" si="1"/>
        <v>0</v>
      </c>
      <c r="Q18" s="179">
        <f t="shared" si="2"/>
        <v>0</v>
      </c>
    </row>
    <row r="19" spans="1:17" ht="10.5" customHeight="1" x14ac:dyDescent="0.25">
      <c r="A19" s="143" t="s">
        <v>2199</v>
      </c>
      <c r="B19" s="549" t="s">
        <v>317</v>
      </c>
      <c r="C19" s="602" t="s">
        <v>3271</v>
      </c>
      <c r="D19" s="611" t="s">
        <v>48</v>
      </c>
      <c r="E19" s="89"/>
      <c r="F19" s="89"/>
      <c r="G19" s="89"/>
      <c r="H19" s="89" t="str">
        <f>IF(OR(E19="NA",F19="NA",G19="NA"),"NA",IF(AND(E19="",F19="",G19=""),"",SUM(E19:G19)))</f>
        <v/>
      </c>
      <c r="I19" s="89"/>
      <c r="J19" s="89"/>
      <c r="K19" s="89"/>
      <c r="L19" s="89"/>
      <c r="M19" s="89" t="str">
        <f>IF(OR(H19="NA",I19="NA",J19="NA",K19="NA",L19="NA"),"NA",IF(AND(H19="",I19="",J19="",K19="",L19=""),"",SUM(H19:L19)))</f>
        <v/>
      </c>
      <c r="N19" s="89"/>
      <c r="O19" s="546"/>
      <c r="P19" s="178">
        <f t="shared" si="1"/>
        <v>0</v>
      </c>
      <c r="Q19" s="179">
        <f t="shared" si="2"/>
        <v>0</v>
      </c>
    </row>
    <row r="20" spans="1:17" ht="10.5" customHeight="1" x14ac:dyDescent="0.25">
      <c r="A20" s="143" t="s">
        <v>2200</v>
      </c>
      <c r="B20" s="549" t="s">
        <v>318</v>
      </c>
      <c r="C20" s="602" t="s">
        <v>3272</v>
      </c>
      <c r="D20" s="611" t="s">
        <v>48</v>
      </c>
      <c r="E20" s="89"/>
      <c r="F20" s="89"/>
      <c r="G20" s="89"/>
      <c r="H20" s="89" t="str">
        <f>IF(OR(E20="NA",F20="NA",G20="NA"),"NA",IF(AND(E20="",F20="",G20=""),"",SUM(E20:G20)))</f>
        <v/>
      </c>
      <c r="I20" s="89"/>
      <c r="J20" s="89"/>
      <c r="K20" s="89"/>
      <c r="L20" s="89"/>
      <c r="M20" s="89" t="str">
        <f>IF(OR(H20="NA",I20="NA",J20="NA",K20="NA",L20="NA"),"NA",IF(AND(H20="",I20="",J20="",K20="",L20=""),"",SUM(H20:L20)))</f>
        <v/>
      </c>
      <c r="N20" s="89"/>
      <c r="O20" s="546"/>
      <c r="P20" s="178">
        <f t="shared" si="1"/>
        <v>0</v>
      </c>
      <c r="Q20" s="179">
        <f t="shared" si="2"/>
        <v>0</v>
      </c>
    </row>
    <row r="21" spans="1:17" ht="10.5" customHeight="1" x14ac:dyDescent="0.25">
      <c r="A21" s="143" t="s">
        <v>2201</v>
      </c>
      <c r="B21" s="549" t="s">
        <v>319</v>
      </c>
      <c r="C21" s="602" t="s">
        <v>3273</v>
      </c>
      <c r="D21" s="611" t="s">
        <v>48</v>
      </c>
      <c r="E21" s="89"/>
      <c r="F21" s="89"/>
      <c r="G21" s="89"/>
      <c r="H21" s="89" t="str">
        <f>IF(OR(E21="NA",F21="NA",G21="NA"),"NA",IF(AND(E21="",F21="",G21=""),"",SUM(E21:G21)))</f>
        <v/>
      </c>
      <c r="I21" s="89"/>
      <c r="J21" s="89"/>
      <c r="K21" s="89"/>
      <c r="L21" s="89"/>
      <c r="M21" s="89" t="str">
        <f>IF(OR(H21="NA",I21="NA",J21="NA",K21="NA",L21="NA"),"NA",IF(AND(H21="",I21="",J21="",K21="",L21=""),"",SUM(H21:L21)))</f>
        <v/>
      </c>
      <c r="N21" s="89"/>
      <c r="O21" s="546"/>
      <c r="P21" s="178">
        <f t="shared" si="1"/>
        <v>0</v>
      </c>
      <c r="Q21" s="179">
        <f t="shared" si="2"/>
        <v>0</v>
      </c>
    </row>
    <row r="22" spans="1:17" ht="10.5" customHeight="1" x14ac:dyDescent="0.25">
      <c r="A22" s="143" t="s">
        <v>2202</v>
      </c>
      <c r="B22" s="549" t="s">
        <v>320</v>
      </c>
      <c r="C22" s="602" t="s">
        <v>3274</v>
      </c>
      <c r="D22" s="611" t="s">
        <v>48</v>
      </c>
      <c r="E22" s="89"/>
      <c r="F22" s="89"/>
      <c r="G22" s="89"/>
      <c r="H22" s="89" t="str">
        <f>IF(OR(E22="NA",F22="NA",G22="NA"),"NA",IF(AND(E22="",F22="",G22=""),"",SUM(E22:G22)))</f>
        <v/>
      </c>
      <c r="I22" s="89"/>
      <c r="J22" s="89"/>
      <c r="K22" s="89"/>
      <c r="L22" s="89"/>
      <c r="M22" s="89" t="str">
        <f>IF(OR(H22="NA",I22="NA",J22="NA",K22="NA",L22="NA"),"NA",IF(AND(H22="",I22="",J22="",K22="",L22=""),"",SUM(H22:L22)))</f>
        <v/>
      </c>
      <c r="N22" s="89"/>
      <c r="O22" s="546"/>
      <c r="P22" s="178">
        <f t="shared" si="1"/>
        <v>0</v>
      </c>
      <c r="Q22" s="179">
        <f t="shared" si="2"/>
        <v>0</v>
      </c>
    </row>
    <row r="23" spans="1:17" ht="10.5" customHeight="1" x14ac:dyDescent="0.25">
      <c r="A23" s="143" t="s">
        <v>2203</v>
      </c>
      <c r="B23" s="551" t="s">
        <v>321</v>
      </c>
      <c r="C23" s="605" t="s">
        <v>3275</v>
      </c>
      <c r="D23" s="632" t="s">
        <v>48</v>
      </c>
      <c r="E23" s="148"/>
      <c r="F23" s="148"/>
      <c r="G23" s="148"/>
      <c r="H23" s="148" t="str">
        <f>IF(OR(E23="NA",F23="NA",G23="NA"),"NA",IF(AND(E23="",F23="",G23=""),"",SUM(E23:G23)))</f>
        <v/>
      </c>
      <c r="I23" s="148"/>
      <c r="J23" s="148"/>
      <c r="K23" s="148"/>
      <c r="L23" s="148"/>
      <c r="M23" s="148" t="str">
        <f>IF(OR(H23="NA",I23="NA",J23="NA",K23="NA",L23="NA"),"NA",IF(AND(H23="",I23="",J23="",K23="",L23=""),"",SUM(H23:L23)))</f>
        <v/>
      </c>
      <c r="N23" s="148"/>
      <c r="O23" s="546"/>
      <c r="P23" s="181">
        <f t="shared" si="1"/>
        <v>0</v>
      </c>
      <c r="Q23" s="182">
        <f t="shared" si="2"/>
        <v>0</v>
      </c>
    </row>
    <row r="24" spans="1:17" ht="15" customHeight="1" x14ac:dyDescent="0.25">
      <c r="A24" s="143" t="s">
        <v>1873</v>
      </c>
      <c r="B24" s="547" t="s">
        <v>1276</v>
      </c>
      <c r="C24" s="601" t="s">
        <v>3276</v>
      </c>
      <c r="D24" s="611" t="s">
        <v>48</v>
      </c>
      <c r="E24" s="90" t="str">
        <f t="shared" ref="E24:N24" si="7">IF(OR(E25="NA",E26="NA",E27="NA",E28="NA",E29="NA",E30="NA"),"NA",IF(AND(E25="",E26="",E27="",E28="",E29="",E30=""),"",SUM(E25:E30)))</f>
        <v/>
      </c>
      <c r="F24" s="90" t="str">
        <f t="shared" si="7"/>
        <v/>
      </c>
      <c r="G24" s="90" t="str">
        <f t="shared" si="7"/>
        <v/>
      </c>
      <c r="H24" s="90" t="str">
        <f t="shared" si="7"/>
        <v/>
      </c>
      <c r="I24" s="90" t="str">
        <f t="shared" si="7"/>
        <v/>
      </c>
      <c r="J24" s="90" t="str">
        <f t="shared" si="7"/>
        <v/>
      </c>
      <c r="K24" s="90" t="str">
        <f t="shared" si="7"/>
        <v/>
      </c>
      <c r="L24" s="90" t="str">
        <f t="shared" si="7"/>
        <v/>
      </c>
      <c r="M24" s="90" t="str">
        <f t="shared" si="7"/>
        <v/>
      </c>
      <c r="N24" s="90" t="str">
        <f t="shared" si="7"/>
        <v/>
      </c>
      <c r="O24" s="546"/>
      <c r="P24" s="178">
        <f t="shared" si="1"/>
        <v>0</v>
      </c>
      <c r="Q24" s="179">
        <f t="shared" si="2"/>
        <v>0</v>
      </c>
    </row>
    <row r="25" spans="1:17" ht="10.5" customHeight="1" x14ac:dyDescent="0.25">
      <c r="A25" s="143" t="s">
        <v>2204</v>
      </c>
      <c r="B25" s="549" t="s">
        <v>322</v>
      </c>
      <c r="C25" s="602" t="s">
        <v>3277</v>
      </c>
      <c r="D25" s="611" t="s">
        <v>48</v>
      </c>
      <c r="E25" s="89"/>
      <c r="F25" s="89"/>
      <c r="G25" s="89"/>
      <c r="H25" s="89" t="str">
        <f t="shared" ref="H25:H30" si="8">IF(OR(E25="NA",F25="NA",G25="NA"),"NA",IF(AND(E25="",F25="",G25=""),"",SUM(E25:G25)))</f>
        <v/>
      </c>
      <c r="I25" s="89"/>
      <c r="J25" s="89"/>
      <c r="K25" s="89"/>
      <c r="L25" s="89"/>
      <c r="M25" s="89" t="str">
        <f t="shared" ref="M25:M30" si="9">IF(OR(H25="NA",I25="NA",J25="NA",K25="NA",L25="NA"),"NA",IF(AND(H25="",I25="",J25="",K25="",L25=""),"",SUM(H25:L25)))</f>
        <v/>
      </c>
      <c r="N25" s="89"/>
      <c r="O25" s="546"/>
      <c r="P25" s="178">
        <f t="shared" si="1"/>
        <v>0</v>
      </c>
      <c r="Q25" s="179">
        <f t="shared" si="2"/>
        <v>0</v>
      </c>
    </row>
    <row r="26" spans="1:17" ht="10.5" customHeight="1" x14ac:dyDescent="0.25">
      <c r="A26" s="143" t="s">
        <v>2205</v>
      </c>
      <c r="B26" s="549" t="s">
        <v>323</v>
      </c>
      <c r="C26" s="602" t="s">
        <v>3278</v>
      </c>
      <c r="D26" s="611" t="s">
        <v>48</v>
      </c>
      <c r="E26" s="89"/>
      <c r="F26" s="89"/>
      <c r="G26" s="89"/>
      <c r="H26" s="89" t="str">
        <f t="shared" si="8"/>
        <v/>
      </c>
      <c r="I26" s="89"/>
      <c r="J26" s="89"/>
      <c r="K26" s="89"/>
      <c r="L26" s="89"/>
      <c r="M26" s="89" t="str">
        <f t="shared" si="9"/>
        <v/>
      </c>
      <c r="N26" s="89"/>
      <c r="O26" s="546"/>
      <c r="P26" s="178">
        <f t="shared" si="1"/>
        <v>0</v>
      </c>
      <c r="Q26" s="179">
        <f t="shared" si="2"/>
        <v>0</v>
      </c>
    </row>
    <row r="27" spans="1:17" ht="10.5" customHeight="1" x14ac:dyDescent="0.25">
      <c r="A27" s="143" t="s">
        <v>2206</v>
      </c>
      <c r="B27" s="549" t="s">
        <v>324</v>
      </c>
      <c r="C27" s="602" t="s">
        <v>3279</v>
      </c>
      <c r="D27" s="611" t="s">
        <v>48</v>
      </c>
      <c r="E27" s="89"/>
      <c r="F27" s="89"/>
      <c r="G27" s="89"/>
      <c r="H27" s="89" t="str">
        <f t="shared" si="8"/>
        <v/>
      </c>
      <c r="I27" s="89"/>
      <c r="J27" s="89"/>
      <c r="K27" s="89"/>
      <c r="L27" s="89"/>
      <c r="M27" s="89" t="str">
        <f t="shared" si="9"/>
        <v/>
      </c>
      <c r="N27" s="89"/>
      <c r="O27" s="546"/>
      <c r="P27" s="178">
        <f t="shared" si="1"/>
        <v>0</v>
      </c>
      <c r="Q27" s="179">
        <f t="shared" si="2"/>
        <v>0</v>
      </c>
    </row>
    <row r="28" spans="1:17" ht="10.5" customHeight="1" x14ac:dyDescent="0.25">
      <c r="A28" s="143" t="s">
        <v>2207</v>
      </c>
      <c r="B28" s="549" t="s">
        <v>325</v>
      </c>
      <c r="C28" s="602" t="s">
        <v>3280</v>
      </c>
      <c r="D28" s="611" t="s">
        <v>48</v>
      </c>
      <c r="E28" s="89"/>
      <c r="F28" s="89"/>
      <c r="G28" s="89"/>
      <c r="H28" s="89" t="str">
        <f t="shared" si="8"/>
        <v/>
      </c>
      <c r="I28" s="89"/>
      <c r="J28" s="89"/>
      <c r="K28" s="89"/>
      <c r="L28" s="89"/>
      <c r="M28" s="89" t="str">
        <f t="shared" si="9"/>
        <v/>
      </c>
      <c r="N28" s="89"/>
      <c r="O28" s="546"/>
      <c r="P28" s="178">
        <f t="shared" si="1"/>
        <v>0</v>
      </c>
      <c r="Q28" s="179">
        <f t="shared" si="2"/>
        <v>0</v>
      </c>
    </row>
    <row r="29" spans="1:17" ht="10.5" customHeight="1" x14ac:dyDescent="0.25">
      <c r="A29" s="143" t="s">
        <v>2208</v>
      </c>
      <c r="B29" s="549" t="s">
        <v>326</v>
      </c>
      <c r="C29" s="602" t="s">
        <v>3281</v>
      </c>
      <c r="D29" s="611" t="s">
        <v>48</v>
      </c>
      <c r="E29" s="89"/>
      <c r="F29" s="89"/>
      <c r="G29" s="89"/>
      <c r="H29" s="89" t="str">
        <f t="shared" si="8"/>
        <v/>
      </c>
      <c r="I29" s="89"/>
      <c r="J29" s="89"/>
      <c r="K29" s="89"/>
      <c r="L29" s="89"/>
      <c r="M29" s="89" t="str">
        <f t="shared" si="9"/>
        <v/>
      </c>
      <c r="N29" s="89"/>
      <c r="O29" s="546"/>
      <c r="P29" s="178">
        <f t="shared" si="1"/>
        <v>0</v>
      </c>
      <c r="Q29" s="179">
        <f t="shared" si="2"/>
        <v>0</v>
      </c>
    </row>
    <row r="30" spans="1:17" ht="10.5" customHeight="1" x14ac:dyDescent="0.25">
      <c r="A30" s="143" t="s">
        <v>2209</v>
      </c>
      <c r="B30" s="551" t="s">
        <v>327</v>
      </c>
      <c r="C30" s="605" t="s">
        <v>3282</v>
      </c>
      <c r="D30" s="632" t="s">
        <v>48</v>
      </c>
      <c r="E30" s="148"/>
      <c r="F30" s="148"/>
      <c r="G30" s="148"/>
      <c r="H30" s="148" t="str">
        <f t="shared" si="8"/>
        <v/>
      </c>
      <c r="I30" s="148"/>
      <c r="J30" s="148"/>
      <c r="K30" s="148"/>
      <c r="L30" s="148"/>
      <c r="M30" s="148" t="str">
        <f t="shared" si="9"/>
        <v/>
      </c>
      <c r="N30" s="148"/>
      <c r="O30" s="546"/>
      <c r="P30" s="181">
        <f t="shared" si="1"/>
        <v>0</v>
      </c>
      <c r="Q30" s="182">
        <f t="shared" si="2"/>
        <v>0</v>
      </c>
    </row>
    <row r="31" spans="1:17" ht="15" customHeight="1" x14ac:dyDescent="0.25">
      <c r="A31" s="143" t="s">
        <v>1874</v>
      </c>
      <c r="B31" s="547" t="s">
        <v>1277</v>
      </c>
      <c r="C31" s="601" t="s">
        <v>3283</v>
      </c>
      <c r="D31" s="611" t="s">
        <v>48</v>
      </c>
      <c r="E31" s="90" t="str">
        <f t="shared" ref="E31:N31" si="10">IF(OR(E32="NA",E33="NA",E34="NA",E35="NA",E36="NA",E37="NA",E38="NA",E39="NA",E40="NA"),"NA",IF(AND(E32="",E33="",E34="",E35="",E36="",E37="",E38="",E39="",E40=""),"",SUM(E32:E40)))</f>
        <v/>
      </c>
      <c r="F31" s="90" t="str">
        <f t="shared" si="10"/>
        <v/>
      </c>
      <c r="G31" s="90" t="str">
        <f t="shared" si="10"/>
        <v/>
      </c>
      <c r="H31" s="90" t="str">
        <f t="shared" si="10"/>
        <v/>
      </c>
      <c r="I31" s="90" t="str">
        <f t="shared" si="10"/>
        <v/>
      </c>
      <c r="J31" s="90" t="str">
        <f t="shared" si="10"/>
        <v/>
      </c>
      <c r="K31" s="90" t="str">
        <f t="shared" si="10"/>
        <v/>
      </c>
      <c r="L31" s="90" t="str">
        <f t="shared" si="10"/>
        <v/>
      </c>
      <c r="M31" s="90" t="str">
        <f t="shared" si="10"/>
        <v/>
      </c>
      <c r="N31" s="90" t="str">
        <f t="shared" si="10"/>
        <v/>
      </c>
      <c r="O31" s="546"/>
      <c r="P31" s="178">
        <f t="shared" si="1"/>
        <v>0</v>
      </c>
      <c r="Q31" s="179">
        <f t="shared" si="2"/>
        <v>0</v>
      </c>
    </row>
    <row r="32" spans="1:17" ht="10.5" customHeight="1" x14ac:dyDescent="0.25">
      <c r="A32" s="143" t="s">
        <v>2210</v>
      </c>
      <c r="B32" s="549" t="s">
        <v>328</v>
      </c>
      <c r="C32" s="602" t="s">
        <v>3284</v>
      </c>
      <c r="D32" s="611" t="s">
        <v>48</v>
      </c>
      <c r="E32" s="89"/>
      <c r="F32" s="89"/>
      <c r="G32" s="89"/>
      <c r="H32" s="89" t="str">
        <f t="shared" ref="H32:H40" si="11">IF(OR(E32="NA",F32="NA",G32="NA"),"NA",IF(AND(E32="",F32="",G32=""),"",SUM(E32:G32)))</f>
        <v/>
      </c>
      <c r="I32" s="89"/>
      <c r="J32" s="89"/>
      <c r="K32" s="89"/>
      <c r="L32" s="89"/>
      <c r="M32" s="89" t="str">
        <f t="shared" ref="M32:M40" si="12">IF(OR(H32="NA",I32="NA",J32="NA",K32="NA",L32="NA"),"NA",IF(AND(H32="",I32="",J32="",K32="",L32=""),"",SUM(H32:L32)))</f>
        <v/>
      </c>
      <c r="N32" s="89"/>
      <c r="O32" s="546"/>
      <c r="P32" s="178">
        <f t="shared" si="1"/>
        <v>0</v>
      </c>
      <c r="Q32" s="179">
        <f t="shared" si="2"/>
        <v>0</v>
      </c>
    </row>
    <row r="33" spans="1:17" ht="10.5" customHeight="1" x14ac:dyDescent="0.25">
      <c r="A33" s="143" t="s">
        <v>1875</v>
      </c>
      <c r="B33" s="549" t="s">
        <v>1278</v>
      </c>
      <c r="C33" s="602" t="s">
        <v>3285</v>
      </c>
      <c r="D33" s="611" t="s">
        <v>48</v>
      </c>
      <c r="E33" s="89"/>
      <c r="F33" s="89"/>
      <c r="G33" s="89"/>
      <c r="H33" s="89" t="str">
        <f t="shared" si="11"/>
        <v/>
      </c>
      <c r="I33" s="89"/>
      <c r="J33" s="89"/>
      <c r="K33" s="89"/>
      <c r="L33" s="89"/>
      <c r="M33" s="89" t="str">
        <f t="shared" si="12"/>
        <v/>
      </c>
      <c r="N33" s="89"/>
      <c r="O33" s="546"/>
      <c r="P33" s="178">
        <f t="shared" si="1"/>
        <v>0</v>
      </c>
      <c r="Q33" s="179">
        <f t="shared" si="2"/>
        <v>0</v>
      </c>
    </row>
    <row r="34" spans="1:17" ht="10.5" customHeight="1" x14ac:dyDescent="0.25">
      <c r="A34" s="143" t="s">
        <v>1876</v>
      </c>
      <c r="B34" s="549" t="s">
        <v>1279</v>
      </c>
      <c r="C34" s="602" t="s">
        <v>3286</v>
      </c>
      <c r="D34" s="611" t="s">
        <v>48</v>
      </c>
      <c r="E34" s="89"/>
      <c r="F34" s="89"/>
      <c r="G34" s="89"/>
      <c r="H34" s="89" t="str">
        <f t="shared" si="11"/>
        <v/>
      </c>
      <c r="I34" s="89"/>
      <c r="J34" s="89"/>
      <c r="K34" s="89"/>
      <c r="L34" s="89"/>
      <c r="M34" s="89" t="str">
        <f t="shared" si="12"/>
        <v/>
      </c>
      <c r="N34" s="89"/>
      <c r="O34" s="546"/>
      <c r="P34" s="178">
        <f t="shared" si="1"/>
        <v>0</v>
      </c>
      <c r="Q34" s="179">
        <f t="shared" si="2"/>
        <v>0</v>
      </c>
    </row>
    <row r="35" spans="1:17" ht="10.5" customHeight="1" x14ac:dyDescent="0.25">
      <c r="A35" s="143" t="s">
        <v>1877</v>
      </c>
      <c r="B35" s="549" t="s">
        <v>1280</v>
      </c>
      <c r="C35" s="602" t="s">
        <v>3287</v>
      </c>
      <c r="D35" s="611" t="s">
        <v>48</v>
      </c>
      <c r="E35" s="89"/>
      <c r="F35" s="89"/>
      <c r="G35" s="89"/>
      <c r="H35" s="89" t="str">
        <f t="shared" si="11"/>
        <v/>
      </c>
      <c r="I35" s="89"/>
      <c r="J35" s="89"/>
      <c r="K35" s="89"/>
      <c r="L35" s="89"/>
      <c r="M35" s="89" t="str">
        <f t="shared" si="12"/>
        <v/>
      </c>
      <c r="N35" s="89"/>
      <c r="O35" s="546"/>
      <c r="P35" s="178">
        <f t="shared" si="1"/>
        <v>0</v>
      </c>
      <c r="Q35" s="179">
        <f t="shared" si="2"/>
        <v>0</v>
      </c>
    </row>
    <row r="36" spans="1:17" ht="10.5" customHeight="1" x14ac:dyDescent="0.25">
      <c r="A36" s="143" t="s">
        <v>1878</v>
      </c>
      <c r="B36" s="549" t="s">
        <v>1281</v>
      </c>
      <c r="C36" s="602" t="s">
        <v>3288</v>
      </c>
      <c r="D36" s="611" t="s">
        <v>48</v>
      </c>
      <c r="E36" s="89"/>
      <c r="F36" s="89"/>
      <c r="G36" s="89"/>
      <c r="H36" s="89" t="str">
        <f t="shared" si="11"/>
        <v/>
      </c>
      <c r="I36" s="89"/>
      <c r="J36" s="89"/>
      <c r="K36" s="89"/>
      <c r="L36" s="89"/>
      <c r="M36" s="89" t="str">
        <f t="shared" si="12"/>
        <v/>
      </c>
      <c r="N36" s="89"/>
      <c r="O36" s="546"/>
      <c r="P36" s="178">
        <f t="shared" si="1"/>
        <v>0</v>
      </c>
      <c r="Q36" s="179">
        <f t="shared" si="2"/>
        <v>0</v>
      </c>
    </row>
    <row r="37" spans="1:17" ht="10.5" customHeight="1" x14ac:dyDescent="0.25">
      <c r="A37" s="143" t="s">
        <v>1879</v>
      </c>
      <c r="B37" s="549" t="s">
        <v>1282</v>
      </c>
      <c r="C37" s="602" t="s">
        <v>3289</v>
      </c>
      <c r="D37" s="611" t="s">
        <v>48</v>
      </c>
      <c r="E37" s="89"/>
      <c r="F37" s="89"/>
      <c r="G37" s="89"/>
      <c r="H37" s="89" t="str">
        <f t="shared" si="11"/>
        <v/>
      </c>
      <c r="I37" s="89"/>
      <c r="J37" s="89"/>
      <c r="K37" s="89"/>
      <c r="L37" s="89"/>
      <c r="M37" s="89" t="str">
        <f t="shared" si="12"/>
        <v/>
      </c>
      <c r="N37" s="89"/>
      <c r="O37" s="546"/>
      <c r="P37" s="178">
        <f t="shared" si="1"/>
        <v>0</v>
      </c>
      <c r="Q37" s="179">
        <f t="shared" si="2"/>
        <v>0</v>
      </c>
    </row>
    <row r="38" spans="1:17" ht="10.5" customHeight="1" x14ac:dyDescent="0.25">
      <c r="A38" s="143" t="s">
        <v>2211</v>
      </c>
      <c r="B38" s="549" t="s">
        <v>329</v>
      </c>
      <c r="C38" s="602" t="s">
        <v>3290</v>
      </c>
      <c r="D38" s="611" t="s">
        <v>48</v>
      </c>
      <c r="E38" s="89"/>
      <c r="F38" s="89"/>
      <c r="G38" s="89"/>
      <c r="H38" s="89" t="str">
        <f t="shared" si="11"/>
        <v/>
      </c>
      <c r="I38" s="89"/>
      <c r="J38" s="89"/>
      <c r="K38" s="89"/>
      <c r="L38" s="89"/>
      <c r="M38" s="89" t="str">
        <f t="shared" si="12"/>
        <v/>
      </c>
      <c r="N38" s="89"/>
      <c r="O38" s="546"/>
      <c r="P38" s="178">
        <f t="shared" si="1"/>
        <v>0</v>
      </c>
      <c r="Q38" s="179">
        <f t="shared" si="2"/>
        <v>0</v>
      </c>
    </row>
    <row r="39" spans="1:17" ht="10.5" customHeight="1" x14ac:dyDescent="0.25">
      <c r="A39" s="143" t="s">
        <v>2212</v>
      </c>
      <c r="B39" s="549" t="s">
        <v>330</v>
      </c>
      <c r="C39" s="602" t="s">
        <v>3291</v>
      </c>
      <c r="D39" s="611" t="s">
        <v>48</v>
      </c>
      <c r="E39" s="89"/>
      <c r="F39" s="89"/>
      <c r="G39" s="89"/>
      <c r="H39" s="89" t="str">
        <f t="shared" si="11"/>
        <v/>
      </c>
      <c r="I39" s="89"/>
      <c r="J39" s="89"/>
      <c r="K39" s="89"/>
      <c r="L39" s="89"/>
      <c r="M39" s="89" t="str">
        <f t="shared" si="12"/>
        <v/>
      </c>
      <c r="N39" s="89"/>
      <c r="O39" s="546"/>
      <c r="P39" s="178">
        <f t="shared" si="1"/>
        <v>0</v>
      </c>
      <c r="Q39" s="179">
        <f t="shared" si="2"/>
        <v>0</v>
      </c>
    </row>
    <row r="40" spans="1:17" ht="10.5" customHeight="1" x14ac:dyDescent="0.25">
      <c r="A40" s="143" t="s">
        <v>2213</v>
      </c>
      <c r="B40" s="551" t="s">
        <v>331</v>
      </c>
      <c r="C40" s="605" t="s">
        <v>3292</v>
      </c>
      <c r="D40" s="632" t="s">
        <v>48</v>
      </c>
      <c r="E40" s="148"/>
      <c r="F40" s="148"/>
      <c r="G40" s="148"/>
      <c r="H40" s="148" t="str">
        <f t="shared" si="11"/>
        <v/>
      </c>
      <c r="I40" s="148"/>
      <c r="J40" s="148"/>
      <c r="K40" s="148"/>
      <c r="L40" s="148"/>
      <c r="M40" s="148" t="str">
        <f t="shared" si="12"/>
        <v/>
      </c>
      <c r="N40" s="148"/>
      <c r="O40" s="546"/>
      <c r="P40" s="181">
        <f t="shared" ref="P40:P71" si="13">IF(OR(H40="NA",E40="NA",F40="NA",G40="NA"),"NA",SUM(H40)-SUM(E40:G40))</f>
        <v>0</v>
      </c>
      <c r="Q40" s="182">
        <f t="shared" ref="Q40:Q71" si="14">IF(OR(M40="NA",H40="NA",I40="NA",J40="NA",K40="NA",L40="NA"),"NA",SUM(M40)-SUM(H40:L40))</f>
        <v>0</v>
      </c>
    </row>
    <row r="41" spans="1:17" ht="15" customHeight="1" x14ac:dyDescent="0.25">
      <c r="A41" s="143" t="s">
        <v>1880</v>
      </c>
      <c r="B41" s="547" t="s">
        <v>1283</v>
      </c>
      <c r="C41" s="601" t="s">
        <v>3293</v>
      </c>
      <c r="D41" s="611" t="s">
        <v>48</v>
      </c>
      <c r="E41" s="90" t="str">
        <f t="shared" ref="E41:N41" si="15">IF(OR(E42="NA",E43="NA",E44="NA",E45="NA",E46="NA",E47="NA"),"NA",IF(AND(E42="",E43="",E44="",E45="",E46="",E47=""),"",SUM(E42:E47)))</f>
        <v/>
      </c>
      <c r="F41" s="90" t="str">
        <f t="shared" si="15"/>
        <v/>
      </c>
      <c r="G41" s="90" t="str">
        <f t="shared" si="15"/>
        <v/>
      </c>
      <c r="H41" s="90" t="str">
        <f t="shared" si="15"/>
        <v/>
      </c>
      <c r="I41" s="90" t="str">
        <f t="shared" si="15"/>
        <v/>
      </c>
      <c r="J41" s="90" t="str">
        <f t="shared" si="15"/>
        <v/>
      </c>
      <c r="K41" s="90" t="str">
        <f t="shared" si="15"/>
        <v/>
      </c>
      <c r="L41" s="90" t="str">
        <f t="shared" si="15"/>
        <v/>
      </c>
      <c r="M41" s="90" t="str">
        <f t="shared" si="15"/>
        <v/>
      </c>
      <c r="N41" s="90" t="str">
        <f t="shared" si="15"/>
        <v/>
      </c>
      <c r="O41" s="546"/>
      <c r="P41" s="178">
        <f t="shared" si="13"/>
        <v>0</v>
      </c>
      <c r="Q41" s="179">
        <f t="shared" si="14"/>
        <v>0</v>
      </c>
    </row>
    <row r="42" spans="1:17" ht="10.5" customHeight="1" x14ac:dyDescent="0.25">
      <c r="A42" s="143" t="s">
        <v>2214</v>
      </c>
      <c r="B42" s="549" t="s">
        <v>332</v>
      </c>
      <c r="C42" s="602" t="s">
        <v>3294</v>
      </c>
      <c r="D42" s="611" t="s">
        <v>48</v>
      </c>
      <c r="E42" s="89"/>
      <c r="F42" s="89"/>
      <c r="G42" s="89"/>
      <c r="H42" s="89" t="str">
        <f t="shared" ref="H42:H47" si="16">IF(OR(E42="NA",F42="NA",G42="NA"),"NA",IF(AND(E42="",F42="",G42=""),"",SUM(E42:G42)))</f>
        <v/>
      </c>
      <c r="I42" s="89"/>
      <c r="J42" s="89"/>
      <c r="K42" s="89"/>
      <c r="L42" s="89"/>
      <c r="M42" s="89" t="str">
        <f t="shared" ref="M42:M47" si="17">IF(OR(H42="NA",I42="NA",J42="NA",K42="NA",L42="NA"),"NA",IF(AND(H42="",I42="",J42="",K42="",L42=""),"",SUM(H42:L42)))</f>
        <v/>
      </c>
      <c r="N42" s="89"/>
      <c r="O42" s="546"/>
      <c r="P42" s="178">
        <f t="shared" si="13"/>
        <v>0</v>
      </c>
      <c r="Q42" s="179">
        <f t="shared" si="14"/>
        <v>0</v>
      </c>
    </row>
    <row r="43" spans="1:17" ht="10.5" customHeight="1" x14ac:dyDescent="0.25">
      <c r="A43" s="143" t="s">
        <v>2215</v>
      </c>
      <c r="B43" s="549" t="s">
        <v>333</v>
      </c>
      <c r="C43" s="602" t="s">
        <v>3295</v>
      </c>
      <c r="D43" s="611" t="s">
        <v>48</v>
      </c>
      <c r="E43" s="89"/>
      <c r="F43" s="89"/>
      <c r="G43" s="89"/>
      <c r="H43" s="89" t="str">
        <f t="shared" si="16"/>
        <v/>
      </c>
      <c r="I43" s="89"/>
      <c r="J43" s="89"/>
      <c r="K43" s="89"/>
      <c r="L43" s="89"/>
      <c r="M43" s="89" t="str">
        <f t="shared" si="17"/>
        <v/>
      </c>
      <c r="N43" s="89"/>
      <c r="O43" s="546"/>
      <c r="P43" s="178">
        <f t="shared" si="13"/>
        <v>0</v>
      </c>
      <c r="Q43" s="179">
        <f t="shared" si="14"/>
        <v>0</v>
      </c>
    </row>
    <row r="44" spans="1:17" ht="10.5" customHeight="1" x14ac:dyDescent="0.25">
      <c r="A44" s="143" t="s">
        <v>2216</v>
      </c>
      <c r="B44" s="549" t="s">
        <v>334</v>
      </c>
      <c r="C44" s="602" t="s">
        <v>3296</v>
      </c>
      <c r="D44" s="611" t="s">
        <v>48</v>
      </c>
      <c r="E44" s="89"/>
      <c r="F44" s="89"/>
      <c r="G44" s="89"/>
      <c r="H44" s="89" t="str">
        <f t="shared" si="16"/>
        <v/>
      </c>
      <c r="I44" s="89"/>
      <c r="J44" s="89"/>
      <c r="K44" s="89"/>
      <c r="L44" s="89"/>
      <c r="M44" s="89" t="str">
        <f t="shared" si="17"/>
        <v/>
      </c>
      <c r="N44" s="89"/>
      <c r="O44" s="546"/>
      <c r="P44" s="178">
        <f t="shared" si="13"/>
        <v>0</v>
      </c>
      <c r="Q44" s="179">
        <f t="shared" si="14"/>
        <v>0</v>
      </c>
    </row>
    <row r="45" spans="1:17" ht="10.5" customHeight="1" x14ac:dyDescent="0.25">
      <c r="A45" s="143" t="s">
        <v>2217</v>
      </c>
      <c r="B45" s="549" t="s">
        <v>335</v>
      </c>
      <c r="C45" s="602" t="s">
        <v>3297</v>
      </c>
      <c r="D45" s="611" t="s">
        <v>48</v>
      </c>
      <c r="E45" s="89"/>
      <c r="F45" s="89"/>
      <c r="G45" s="89"/>
      <c r="H45" s="89" t="str">
        <f t="shared" si="16"/>
        <v/>
      </c>
      <c r="I45" s="89"/>
      <c r="J45" s="89"/>
      <c r="K45" s="89"/>
      <c r="L45" s="89"/>
      <c r="M45" s="89" t="str">
        <f t="shared" si="17"/>
        <v/>
      </c>
      <c r="N45" s="89"/>
      <c r="O45" s="546"/>
      <c r="P45" s="178">
        <f t="shared" si="13"/>
        <v>0</v>
      </c>
      <c r="Q45" s="179">
        <f t="shared" si="14"/>
        <v>0</v>
      </c>
    </row>
    <row r="46" spans="1:17" ht="10.5" customHeight="1" x14ac:dyDescent="0.25">
      <c r="A46" s="143" t="s">
        <v>2218</v>
      </c>
      <c r="B46" s="549" t="s">
        <v>336</v>
      </c>
      <c r="C46" s="602" t="s">
        <v>3298</v>
      </c>
      <c r="D46" s="611" t="s">
        <v>48</v>
      </c>
      <c r="E46" s="89"/>
      <c r="F46" s="89"/>
      <c r="G46" s="89"/>
      <c r="H46" s="89" t="str">
        <f t="shared" si="16"/>
        <v/>
      </c>
      <c r="I46" s="89"/>
      <c r="J46" s="89"/>
      <c r="K46" s="89"/>
      <c r="L46" s="89"/>
      <c r="M46" s="89" t="str">
        <f t="shared" si="17"/>
        <v/>
      </c>
      <c r="N46" s="89"/>
      <c r="O46" s="546"/>
      <c r="P46" s="178">
        <f t="shared" si="13"/>
        <v>0</v>
      </c>
      <c r="Q46" s="179">
        <f t="shared" si="14"/>
        <v>0</v>
      </c>
    </row>
    <row r="47" spans="1:17" ht="10.5" customHeight="1" x14ac:dyDescent="0.25">
      <c r="A47" s="143" t="s">
        <v>2219</v>
      </c>
      <c r="B47" s="551" t="s">
        <v>337</v>
      </c>
      <c r="C47" s="605" t="s">
        <v>3299</v>
      </c>
      <c r="D47" s="632" t="s">
        <v>48</v>
      </c>
      <c r="E47" s="148"/>
      <c r="F47" s="148"/>
      <c r="G47" s="148"/>
      <c r="H47" s="148" t="str">
        <f t="shared" si="16"/>
        <v/>
      </c>
      <c r="I47" s="148"/>
      <c r="J47" s="148"/>
      <c r="K47" s="148"/>
      <c r="L47" s="148"/>
      <c r="M47" s="148" t="str">
        <f t="shared" si="17"/>
        <v/>
      </c>
      <c r="N47" s="148"/>
      <c r="O47" s="546"/>
      <c r="P47" s="181">
        <f t="shared" si="13"/>
        <v>0</v>
      </c>
      <c r="Q47" s="182">
        <f t="shared" si="14"/>
        <v>0</v>
      </c>
    </row>
    <row r="48" spans="1:17" ht="15" customHeight="1" x14ac:dyDescent="0.25">
      <c r="A48" s="143" t="s">
        <v>1881</v>
      </c>
      <c r="B48" s="547" t="s">
        <v>1284</v>
      </c>
      <c r="C48" s="601" t="s">
        <v>3300</v>
      </c>
      <c r="D48" s="611" t="s">
        <v>48</v>
      </c>
      <c r="E48" s="90" t="str">
        <f t="shared" ref="E48:N48" si="18">IF(OR(E49="NA",E50="NA",E51="NA",E52="NA",E53="NA",E54="NA"),"NA",IF(AND(E49="",E50="",E51="",E52="",E53="",E54=""),"",SUM(E49:E54)))</f>
        <v/>
      </c>
      <c r="F48" s="90" t="str">
        <f t="shared" si="18"/>
        <v/>
      </c>
      <c r="G48" s="90" t="str">
        <f t="shared" si="18"/>
        <v/>
      </c>
      <c r="H48" s="90" t="str">
        <f t="shared" si="18"/>
        <v/>
      </c>
      <c r="I48" s="90" t="str">
        <f t="shared" si="18"/>
        <v/>
      </c>
      <c r="J48" s="90" t="str">
        <f t="shared" si="18"/>
        <v/>
      </c>
      <c r="K48" s="90" t="str">
        <f t="shared" si="18"/>
        <v/>
      </c>
      <c r="L48" s="90" t="str">
        <f t="shared" si="18"/>
        <v/>
      </c>
      <c r="M48" s="90" t="str">
        <f t="shared" si="18"/>
        <v/>
      </c>
      <c r="N48" s="90" t="str">
        <f t="shared" si="18"/>
        <v/>
      </c>
      <c r="O48" s="546"/>
      <c r="P48" s="178">
        <f t="shared" si="13"/>
        <v>0</v>
      </c>
      <c r="Q48" s="179">
        <f t="shared" si="14"/>
        <v>0</v>
      </c>
    </row>
    <row r="49" spans="1:17" ht="10.5" customHeight="1" x14ac:dyDescent="0.25">
      <c r="A49" s="143" t="s">
        <v>2220</v>
      </c>
      <c r="B49" s="549" t="s">
        <v>338</v>
      </c>
      <c r="C49" s="602" t="s">
        <v>3301</v>
      </c>
      <c r="D49" s="611" t="s">
        <v>48</v>
      </c>
      <c r="E49" s="89"/>
      <c r="F49" s="89"/>
      <c r="G49" s="89"/>
      <c r="H49" s="89" t="str">
        <f t="shared" ref="H49:H54" si="19">IF(OR(E49="NA",F49="NA",G49="NA"),"NA",IF(AND(E49="",F49="",G49=""),"",SUM(E49:G49)))</f>
        <v/>
      </c>
      <c r="I49" s="89"/>
      <c r="J49" s="89"/>
      <c r="K49" s="89"/>
      <c r="L49" s="89"/>
      <c r="M49" s="89" t="str">
        <f t="shared" ref="M49:M54" si="20">IF(OR(H49="NA",I49="NA",J49="NA",K49="NA",L49="NA"),"NA",IF(AND(H49="",I49="",J49="",K49="",L49=""),"",SUM(H49:L49)))</f>
        <v/>
      </c>
      <c r="N49" s="89"/>
      <c r="O49" s="546"/>
      <c r="P49" s="178">
        <f t="shared" si="13"/>
        <v>0</v>
      </c>
      <c r="Q49" s="179">
        <f t="shared" si="14"/>
        <v>0</v>
      </c>
    </row>
    <row r="50" spans="1:17" ht="10.5" customHeight="1" x14ac:dyDescent="0.25">
      <c r="A50" s="143" t="s">
        <v>2221</v>
      </c>
      <c r="B50" s="549" t="s">
        <v>339</v>
      </c>
      <c r="C50" s="602" t="s">
        <v>3302</v>
      </c>
      <c r="D50" s="611" t="s">
        <v>48</v>
      </c>
      <c r="E50" s="89"/>
      <c r="F50" s="89"/>
      <c r="G50" s="89"/>
      <c r="H50" s="89" t="str">
        <f t="shared" si="19"/>
        <v/>
      </c>
      <c r="I50" s="89"/>
      <c r="J50" s="89"/>
      <c r="K50" s="89"/>
      <c r="L50" s="89"/>
      <c r="M50" s="89" t="str">
        <f t="shared" si="20"/>
        <v/>
      </c>
      <c r="N50" s="89"/>
      <c r="O50" s="546"/>
      <c r="P50" s="178">
        <f t="shared" si="13"/>
        <v>0</v>
      </c>
      <c r="Q50" s="179">
        <f t="shared" si="14"/>
        <v>0</v>
      </c>
    </row>
    <row r="51" spans="1:17" ht="10.5" customHeight="1" x14ac:dyDescent="0.25">
      <c r="A51" s="143" t="s">
        <v>2222</v>
      </c>
      <c r="B51" s="549" t="s">
        <v>340</v>
      </c>
      <c r="C51" s="602" t="s">
        <v>3303</v>
      </c>
      <c r="D51" s="611" t="s">
        <v>48</v>
      </c>
      <c r="E51" s="89"/>
      <c r="F51" s="89"/>
      <c r="G51" s="89"/>
      <c r="H51" s="89" t="str">
        <f t="shared" si="19"/>
        <v/>
      </c>
      <c r="I51" s="89"/>
      <c r="J51" s="89"/>
      <c r="K51" s="89"/>
      <c r="L51" s="89"/>
      <c r="M51" s="89" t="str">
        <f t="shared" si="20"/>
        <v/>
      </c>
      <c r="N51" s="89"/>
      <c r="O51" s="546"/>
      <c r="P51" s="178">
        <f t="shared" si="13"/>
        <v>0</v>
      </c>
      <c r="Q51" s="179">
        <f t="shared" si="14"/>
        <v>0</v>
      </c>
    </row>
    <row r="52" spans="1:17" ht="10.5" customHeight="1" x14ac:dyDescent="0.25">
      <c r="A52" s="143" t="s">
        <v>2223</v>
      </c>
      <c r="B52" s="549" t="s">
        <v>341</v>
      </c>
      <c r="C52" s="602" t="s">
        <v>3304</v>
      </c>
      <c r="D52" s="611" t="s">
        <v>48</v>
      </c>
      <c r="E52" s="89"/>
      <c r="F52" s="89"/>
      <c r="G52" s="89"/>
      <c r="H52" s="89" t="str">
        <f t="shared" si="19"/>
        <v/>
      </c>
      <c r="I52" s="89"/>
      <c r="J52" s="89"/>
      <c r="K52" s="89"/>
      <c r="L52" s="89"/>
      <c r="M52" s="89" t="str">
        <f t="shared" si="20"/>
        <v/>
      </c>
      <c r="N52" s="89"/>
      <c r="O52" s="546"/>
      <c r="P52" s="178">
        <f t="shared" si="13"/>
        <v>0</v>
      </c>
      <c r="Q52" s="179">
        <f t="shared" si="14"/>
        <v>0</v>
      </c>
    </row>
    <row r="53" spans="1:17" ht="10.5" customHeight="1" x14ac:dyDescent="0.25">
      <c r="A53" s="143" t="s">
        <v>2224</v>
      </c>
      <c r="B53" s="549" t="s">
        <v>342</v>
      </c>
      <c r="C53" s="602" t="s">
        <v>3305</v>
      </c>
      <c r="D53" s="611" t="s">
        <v>48</v>
      </c>
      <c r="E53" s="89"/>
      <c r="F53" s="89"/>
      <c r="G53" s="89"/>
      <c r="H53" s="89" t="str">
        <f t="shared" si="19"/>
        <v/>
      </c>
      <c r="I53" s="89"/>
      <c r="J53" s="89"/>
      <c r="K53" s="89"/>
      <c r="L53" s="89"/>
      <c r="M53" s="89" t="str">
        <f t="shared" si="20"/>
        <v/>
      </c>
      <c r="N53" s="89"/>
      <c r="O53" s="546"/>
      <c r="P53" s="178">
        <f t="shared" si="13"/>
        <v>0</v>
      </c>
      <c r="Q53" s="179">
        <f t="shared" si="14"/>
        <v>0</v>
      </c>
    </row>
    <row r="54" spans="1:17" ht="10.5" customHeight="1" x14ac:dyDescent="0.25">
      <c r="A54" s="143" t="s">
        <v>2225</v>
      </c>
      <c r="B54" s="551" t="s">
        <v>343</v>
      </c>
      <c r="C54" s="605" t="s">
        <v>3306</v>
      </c>
      <c r="D54" s="632" t="s">
        <v>48</v>
      </c>
      <c r="E54" s="148"/>
      <c r="F54" s="148"/>
      <c r="G54" s="148"/>
      <c r="H54" s="148" t="str">
        <f t="shared" si="19"/>
        <v/>
      </c>
      <c r="I54" s="148"/>
      <c r="J54" s="148"/>
      <c r="K54" s="148"/>
      <c r="L54" s="148"/>
      <c r="M54" s="148" t="str">
        <f t="shared" si="20"/>
        <v/>
      </c>
      <c r="N54" s="148"/>
      <c r="O54" s="546"/>
      <c r="P54" s="181">
        <f t="shared" si="13"/>
        <v>0</v>
      </c>
      <c r="Q54" s="182">
        <f t="shared" si="14"/>
        <v>0</v>
      </c>
    </row>
    <row r="55" spans="1:17" ht="15" customHeight="1" x14ac:dyDescent="0.25">
      <c r="A55" s="143" t="s">
        <v>1882</v>
      </c>
      <c r="B55" s="547" t="s">
        <v>1285</v>
      </c>
      <c r="C55" s="601" t="s">
        <v>3307</v>
      </c>
      <c r="D55" s="611" t="s">
        <v>48</v>
      </c>
      <c r="E55" s="90" t="str">
        <f t="shared" ref="E55:N55" si="21">IF(OR(E56="NA",E57="NA",E58="NA",E59="NA",E60="NA",E61="NA"),"NA",IF(AND(E56="",E57="",E58="",E59="",E60="",E61=""),"",SUM(E56:E61)))</f>
        <v/>
      </c>
      <c r="F55" s="90" t="str">
        <f t="shared" si="21"/>
        <v/>
      </c>
      <c r="G55" s="90" t="str">
        <f t="shared" si="21"/>
        <v/>
      </c>
      <c r="H55" s="90" t="str">
        <f t="shared" si="21"/>
        <v/>
      </c>
      <c r="I55" s="90" t="str">
        <f t="shared" si="21"/>
        <v/>
      </c>
      <c r="J55" s="90" t="str">
        <f t="shared" si="21"/>
        <v/>
      </c>
      <c r="K55" s="90" t="str">
        <f t="shared" si="21"/>
        <v/>
      </c>
      <c r="L55" s="90" t="str">
        <f t="shared" si="21"/>
        <v/>
      </c>
      <c r="M55" s="90" t="str">
        <f t="shared" si="21"/>
        <v/>
      </c>
      <c r="N55" s="90" t="str">
        <f t="shared" si="21"/>
        <v/>
      </c>
      <c r="O55" s="546"/>
      <c r="P55" s="178">
        <f t="shared" si="13"/>
        <v>0</v>
      </c>
      <c r="Q55" s="179">
        <f t="shared" si="14"/>
        <v>0</v>
      </c>
    </row>
    <row r="56" spans="1:17" ht="10.5" customHeight="1" x14ac:dyDescent="0.25">
      <c r="A56" s="143" t="s">
        <v>2226</v>
      </c>
      <c r="B56" s="549" t="s">
        <v>344</v>
      </c>
      <c r="C56" s="602" t="s">
        <v>3308</v>
      </c>
      <c r="D56" s="611" t="s">
        <v>48</v>
      </c>
      <c r="E56" s="89"/>
      <c r="F56" s="89"/>
      <c r="G56" s="89"/>
      <c r="H56" s="89" t="str">
        <f t="shared" ref="H56:H61" si="22">IF(OR(E56="NA",F56="NA",G56="NA"),"NA",IF(AND(E56="",F56="",G56=""),"",SUM(E56:G56)))</f>
        <v/>
      </c>
      <c r="I56" s="89"/>
      <c r="J56" s="89"/>
      <c r="K56" s="89"/>
      <c r="L56" s="89"/>
      <c r="M56" s="89" t="str">
        <f t="shared" ref="M56:M61" si="23">IF(OR(H56="NA",I56="NA",J56="NA",K56="NA",L56="NA"),"NA",IF(AND(H56="",I56="",J56="",K56="",L56=""),"",SUM(H56:L56)))</f>
        <v/>
      </c>
      <c r="N56" s="89"/>
      <c r="O56" s="546"/>
      <c r="P56" s="178">
        <f t="shared" si="13"/>
        <v>0</v>
      </c>
      <c r="Q56" s="179">
        <f t="shared" si="14"/>
        <v>0</v>
      </c>
    </row>
    <row r="57" spans="1:17" ht="10.5" customHeight="1" x14ac:dyDescent="0.25">
      <c r="A57" s="143" t="s">
        <v>1883</v>
      </c>
      <c r="B57" s="549" t="s">
        <v>1286</v>
      </c>
      <c r="C57" s="602" t="s">
        <v>3309</v>
      </c>
      <c r="D57" s="611" t="s">
        <v>48</v>
      </c>
      <c r="E57" s="89"/>
      <c r="F57" s="89"/>
      <c r="G57" s="89"/>
      <c r="H57" s="89" t="str">
        <f t="shared" si="22"/>
        <v/>
      </c>
      <c r="I57" s="89"/>
      <c r="J57" s="89"/>
      <c r="K57" s="89"/>
      <c r="L57" s="89"/>
      <c r="M57" s="89" t="str">
        <f t="shared" si="23"/>
        <v/>
      </c>
      <c r="N57" s="89"/>
      <c r="O57" s="546"/>
      <c r="P57" s="178">
        <f t="shared" si="13"/>
        <v>0</v>
      </c>
      <c r="Q57" s="179">
        <f t="shared" si="14"/>
        <v>0</v>
      </c>
    </row>
    <row r="58" spans="1:17" ht="10.5" customHeight="1" x14ac:dyDescent="0.25">
      <c r="A58" s="143" t="s">
        <v>1884</v>
      </c>
      <c r="B58" s="549" t="s">
        <v>1287</v>
      </c>
      <c r="C58" s="602" t="s">
        <v>3310</v>
      </c>
      <c r="D58" s="611" t="s">
        <v>48</v>
      </c>
      <c r="E58" s="89"/>
      <c r="F58" s="89"/>
      <c r="G58" s="89"/>
      <c r="H58" s="89" t="str">
        <f t="shared" si="22"/>
        <v/>
      </c>
      <c r="I58" s="89"/>
      <c r="J58" s="89"/>
      <c r="K58" s="89"/>
      <c r="L58" s="89"/>
      <c r="M58" s="89" t="str">
        <f t="shared" si="23"/>
        <v/>
      </c>
      <c r="N58" s="89"/>
      <c r="O58" s="546"/>
      <c r="P58" s="178">
        <f t="shared" si="13"/>
        <v>0</v>
      </c>
      <c r="Q58" s="179">
        <f t="shared" si="14"/>
        <v>0</v>
      </c>
    </row>
    <row r="59" spans="1:17" ht="10.5" customHeight="1" x14ac:dyDescent="0.25">
      <c r="A59" s="143" t="s">
        <v>1885</v>
      </c>
      <c r="B59" s="549" t="s">
        <v>1288</v>
      </c>
      <c r="C59" s="602" t="s">
        <v>3311</v>
      </c>
      <c r="D59" s="611" t="s">
        <v>48</v>
      </c>
      <c r="E59" s="89"/>
      <c r="F59" s="89"/>
      <c r="G59" s="89"/>
      <c r="H59" s="89" t="str">
        <f t="shared" si="22"/>
        <v/>
      </c>
      <c r="I59" s="89"/>
      <c r="J59" s="89"/>
      <c r="K59" s="89"/>
      <c r="L59" s="89"/>
      <c r="M59" s="89" t="str">
        <f t="shared" si="23"/>
        <v/>
      </c>
      <c r="N59" s="89"/>
      <c r="O59" s="546"/>
      <c r="P59" s="178">
        <f t="shared" si="13"/>
        <v>0</v>
      </c>
      <c r="Q59" s="179">
        <f t="shared" si="14"/>
        <v>0</v>
      </c>
    </row>
    <row r="60" spans="1:17" ht="10.5" customHeight="1" x14ac:dyDescent="0.25">
      <c r="A60" s="143" t="s">
        <v>2227</v>
      </c>
      <c r="B60" s="549" t="s">
        <v>345</v>
      </c>
      <c r="C60" s="602" t="s">
        <v>3312</v>
      </c>
      <c r="D60" s="611" t="s">
        <v>48</v>
      </c>
      <c r="E60" s="89"/>
      <c r="F60" s="89"/>
      <c r="G60" s="89"/>
      <c r="H60" s="89" t="str">
        <f t="shared" si="22"/>
        <v/>
      </c>
      <c r="I60" s="89"/>
      <c r="J60" s="89"/>
      <c r="K60" s="89"/>
      <c r="L60" s="89"/>
      <c r="M60" s="89" t="str">
        <f t="shared" si="23"/>
        <v/>
      </c>
      <c r="N60" s="89"/>
      <c r="O60" s="546"/>
      <c r="P60" s="178">
        <f t="shared" si="13"/>
        <v>0</v>
      </c>
      <c r="Q60" s="179">
        <f t="shared" si="14"/>
        <v>0</v>
      </c>
    </row>
    <row r="61" spans="1:17" ht="10.5" customHeight="1" x14ac:dyDescent="0.25">
      <c r="A61" s="143" t="s">
        <v>2228</v>
      </c>
      <c r="B61" s="551" t="s">
        <v>346</v>
      </c>
      <c r="C61" s="605" t="s">
        <v>3313</v>
      </c>
      <c r="D61" s="632" t="s">
        <v>48</v>
      </c>
      <c r="E61" s="148"/>
      <c r="F61" s="148"/>
      <c r="G61" s="148"/>
      <c r="H61" s="148" t="str">
        <f t="shared" si="22"/>
        <v/>
      </c>
      <c r="I61" s="148"/>
      <c r="J61" s="148"/>
      <c r="K61" s="148"/>
      <c r="L61" s="148"/>
      <c r="M61" s="148" t="str">
        <f t="shared" si="23"/>
        <v/>
      </c>
      <c r="N61" s="148"/>
      <c r="O61" s="546"/>
      <c r="P61" s="181">
        <f t="shared" si="13"/>
        <v>0</v>
      </c>
      <c r="Q61" s="182">
        <f t="shared" si="14"/>
        <v>0</v>
      </c>
    </row>
    <row r="62" spans="1:17" ht="15" customHeight="1" x14ac:dyDescent="0.25">
      <c r="A62" s="143" t="s">
        <v>1886</v>
      </c>
      <c r="B62" s="547" t="s">
        <v>1289</v>
      </c>
      <c r="C62" s="601" t="s">
        <v>3314</v>
      </c>
      <c r="D62" s="611" t="s">
        <v>48</v>
      </c>
      <c r="E62" s="90" t="str">
        <f t="shared" ref="E62:N62" si="24">IF(OR(E63="NA",E64="NA",E65="NA",E66="NA",E67="NA",E68="NA"),"NA",IF(AND(E63="",E64="",E65="",E66="",E67="",E68=""),"",SUM(E63:E68)))</f>
        <v/>
      </c>
      <c r="F62" s="90" t="str">
        <f t="shared" si="24"/>
        <v/>
      </c>
      <c r="G62" s="90" t="str">
        <f t="shared" si="24"/>
        <v/>
      </c>
      <c r="H62" s="90" t="str">
        <f t="shared" si="24"/>
        <v/>
      </c>
      <c r="I62" s="90" t="str">
        <f t="shared" si="24"/>
        <v/>
      </c>
      <c r="J62" s="90" t="str">
        <f t="shared" si="24"/>
        <v/>
      </c>
      <c r="K62" s="90" t="str">
        <f t="shared" si="24"/>
        <v/>
      </c>
      <c r="L62" s="90" t="str">
        <f t="shared" si="24"/>
        <v/>
      </c>
      <c r="M62" s="90" t="str">
        <f t="shared" si="24"/>
        <v/>
      </c>
      <c r="N62" s="90" t="str">
        <f t="shared" si="24"/>
        <v/>
      </c>
      <c r="O62" s="546"/>
      <c r="P62" s="178">
        <f t="shared" si="13"/>
        <v>0</v>
      </c>
      <c r="Q62" s="179">
        <f t="shared" si="14"/>
        <v>0</v>
      </c>
    </row>
    <row r="63" spans="1:17" ht="10.5" customHeight="1" x14ac:dyDescent="0.25">
      <c r="A63" s="143" t="s">
        <v>2229</v>
      </c>
      <c r="B63" s="549" t="s">
        <v>347</v>
      </c>
      <c r="C63" s="602" t="s">
        <v>3315</v>
      </c>
      <c r="D63" s="611" t="s">
        <v>48</v>
      </c>
      <c r="E63" s="89"/>
      <c r="F63" s="89"/>
      <c r="G63" s="89"/>
      <c r="H63" s="89" t="str">
        <f t="shared" ref="H63:H68" si="25">IF(OR(E63="NA",F63="NA",G63="NA"),"NA",IF(AND(E63="",F63="",G63=""),"",SUM(E63:G63)))</f>
        <v/>
      </c>
      <c r="I63" s="89"/>
      <c r="J63" s="89"/>
      <c r="K63" s="89"/>
      <c r="L63" s="89"/>
      <c r="M63" s="89" t="str">
        <f t="shared" ref="M63:M68" si="26">IF(OR(H63="NA",I63="NA",J63="NA",K63="NA",L63="NA"),"NA",IF(AND(H63="",I63="",J63="",K63="",L63=""),"",SUM(H63:L63)))</f>
        <v/>
      </c>
      <c r="N63" s="89"/>
      <c r="O63" s="546"/>
      <c r="P63" s="178">
        <f t="shared" si="13"/>
        <v>0</v>
      </c>
      <c r="Q63" s="179">
        <f t="shared" si="14"/>
        <v>0</v>
      </c>
    </row>
    <row r="64" spans="1:17" ht="10.5" customHeight="1" x14ac:dyDescent="0.25">
      <c r="A64" s="143" t="s">
        <v>2230</v>
      </c>
      <c r="B64" s="549" t="s">
        <v>348</v>
      </c>
      <c r="C64" s="602" t="s">
        <v>3316</v>
      </c>
      <c r="D64" s="611" t="s">
        <v>48</v>
      </c>
      <c r="E64" s="89"/>
      <c r="F64" s="89"/>
      <c r="G64" s="89"/>
      <c r="H64" s="89" t="str">
        <f t="shared" si="25"/>
        <v/>
      </c>
      <c r="I64" s="89"/>
      <c r="J64" s="89"/>
      <c r="K64" s="89"/>
      <c r="L64" s="89"/>
      <c r="M64" s="89" t="str">
        <f t="shared" si="26"/>
        <v/>
      </c>
      <c r="N64" s="89"/>
      <c r="O64" s="546"/>
      <c r="P64" s="178">
        <f t="shared" si="13"/>
        <v>0</v>
      </c>
      <c r="Q64" s="179">
        <f t="shared" si="14"/>
        <v>0</v>
      </c>
    </row>
    <row r="65" spans="1:17" ht="10.5" customHeight="1" x14ac:dyDescent="0.25">
      <c r="A65" s="143" t="s">
        <v>2231</v>
      </c>
      <c r="B65" s="549" t="s">
        <v>349</v>
      </c>
      <c r="C65" s="602" t="s">
        <v>3317</v>
      </c>
      <c r="D65" s="611" t="s">
        <v>48</v>
      </c>
      <c r="E65" s="89"/>
      <c r="F65" s="89"/>
      <c r="G65" s="89"/>
      <c r="H65" s="89" t="str">
        <f t="shared" si="25"/>
        <v/>
      </c>
      <c r="I65" s="89"/>
      <c r="J65" s="89"/>
      <c r="K65" s="89"/>
      <c r="L65" s="89"/>
      <c r="M65" s="89" t="str">
        <f t="shared" si="26"/>
        <v/>
      </c>
      <c r="N65" s="89"/>
      <c r="O65" s="546"/>
      <c r="P65" s="178">
        <f t="shared" si="13"/>
        <v>0</v>
      </c>
      <c r="Q65" s="179">
        <f t="shared" si="14"/>
        <v>0</v>
      </c>
    </row>
    <row r="66" spans="1:17" ht="10.5" customHeight="1" x14ac:dyDescent="0.25">
      <c r="A66" s="143" t="s">
        <v>2232</v>
      </c>
      <c r="B66" s="549" t="s">
        <v>350</v>
      </c>
      <c r="C66" s="602" t="s">
        <v>3318</v>
      </c>
      <c r="D66" s="611" t="s">
        <v>48</v>
      </c>
      <c r="E66" s="89"/>
      <c r="F66" s="89"/>
      <c r="G66" s="89"/>
      <c r="H66" s="89" t="str">
        <f t="shared" si="25"/>
        <v/>
      </c>
      <c r="I66" s="89"/>
      <c r="J66" s="89"/>
      <c r="K66" s="89"/>
      <c r="L66" s="89"/>
      <c r="M66" s="89" t="str">
        <f t="shared" si="26"/>
        <v/>
      </c>
      <c r="N66" s="89"/>
      <c r="O66" s="546"/>
      <c r="P66" s="178">
        <f t="shared" si="13"/>
        <v>0</v>
      </c>
      <c r="Q66" s="179">
        <f t="shared" si="14"/>
        <v>0</v>
      </c>
    </row>
    <row r="67" spans="1:17" ht="10.5" customHeight="1" x14ac:dyDescent="0.25">
      <c r="A67" s="143" t="s">
        <v>2233</v>
      </c>
      <c r="B67" s="549" t="s">
        <v>351</v>
      </c>
      <c r="C67" s="602" t="s">
        <v>3319</v>
      </c>
      <c r="D67" s="611" t="s">
        <v>48</v>
      </c>
      <c r="E67" s="89"/>
      <c r="F67" s="89"/>
      <c r="G67" s="89"/>
      <c r="H67" s="89" t="str">
        <f t="shared" si="25"/>
        <v/>
      </c>
      <c r="I67" s="89"/>
      <c r="J67" s="89"/>
      <c r="K67" s="89"/>
      <c r="L67" s="89"/>
      <c r="M67" s="89" t="str">
        <f t="shared" si="26"/>
        <v/>
      </c>
      <c r="N67" s="89"/>
      <c r="O67" s="546"/>
      <c r="P67" s="178">
        <f t="shared" si="13"/>
        <v>0</v>
      </c>
      <c r="Q67" s="179">
        <f t="shared" si="14"/>
        <v>0</v>
      </c>
    </row>
    <row r="68" spans="1:17" ht="10.5" customHeight="1" x14ac:dyDescent="0.25">
      <c r="A68" s="143" t="s">
        <v>2234</v>
      </c>
      <c r="B68" s="551" t="s">
        <v>352</v>
      </c>
      <c r="C68" s="605" t="s">
        <v>3320</v>
      </c>
      <c r="D68" s="632" t="s">
        <v>48</v>
      </c>
      <c r="E68" s="148"/>
      <c r="F68" s="148"/>
      <c r="G68" s="148"/>
      <c r="H68" s="148" t="str">
        <f t="shared" si="25"/>
        <v/>
      </c>
      <c r="I68" s="148"/>
      <c r="J68" s="148"/>
      <c r="K68" s="148"/>
      <c r="L68" s="148"/>
      <c r="M68" s="148" t="str">
        <f t="shared" si="26"/>
        <v/>
      </c>
      <c r="N68" s="148"/>
      <c r="O68" s="546"/>
      <c r="P68" s="181">
        <f t="shared" si="13"/>
        <v>0</v>
      </c>
      <c r="Q68" s="182">
        <f t="shared" si="14"/>
        <v>0</v>
      </c>
    </row>
    <row r="69" spans="1:17" ht="15" customHeight="1" x14ac:dyDescent="0.25">
      <c r="A69" s="143" t="s">
        <v>1887</v>
      </c>
      <c r="B69" s="547" t="s">
        <v>1290</v>
      </c>
      <c r="C69" s="601" t="s">
        <v>3321</v>
      </c>
      <c r="D69" s="611" t="s">
        <v>48</v>
      </c>
      <c r="E69" s="90" t="str">
        <f t="shared" ref="E69:N69" si="27">IF(OR(E70="NA",E71="NA",E72="NA",E73="NA",E74="NA",E75="NA",E76="NA",E77="NA"),"NA",IF(AND(E70="",E71="",E72="",E73="",E74="",E75="",E76="",E77=""),"",SUM(E70:E77)))</f>
        <v/>
      </c>
      <c r="F69" s="90" t="str">
        <f t="shared" si="27"/>
        <v/>
      </c>
      <c r="G69" s="90" t="str">
        <f t="shared" si="27"/>
        <v/>
      </c>
      <c r="H69" s="90" t="str">
        <f t="shared" si="27"/>
        <v/>
      </c>
      <c r="I69" s="90" t="str">
        <f t="shared" si="27"/>
        <v/>
      </c>
      <c r="J69" s="90" t="str">
        <f t="shared" si="27"/>
        <v/>
      </c>
      <c r="K69" s="90" t="str">
        <f t="shared" si="27"/>
        <v/>
      </c>
      <c r="L69" s="90" t="str">
        <f t="shared" si="27"/>
        <v/>
      </c>
      <c r="M69" s="90" t="str">
        <f t="shared" si="27"/>
        <v/>
      </c>
      <c r="N69" s="90" t="str">
        <f t="shared" si="27"/>
        <v/>
      </c>
      <c r="O69" s="546"/>
      <c r="P69" s="178">
        <f t="shared" si="13"/>
        <v>0</v>
      </c>
      <c r="Q69" s="179">
        <f t="shared" si="14"/>
        <v>0</v>
      </c>
    </row>
    <row r="70" spans="1:17" ht="10.5" customHeight="1" x14ac:dyDescent="0.25">
      <c r="A70" s="143" t="s">
        <v>1888</v>
      </c>
      <c r="B70" s="549" t="s">
        <v>1291</v>
      </c>
      <c r="C70" s="602" t="s">
        <v>3322</v>
      </c>
      <c r="D70" s="611" t="s">
        <v>48</v>
      </c>
      <c r="E70" s="89"/>
      <c r="F70" s="89"/>
      <c r="G70" s="89"/>
      <c r="H70" s="89" t="str">
        <f t="shared" ref="H70:H77" si="28">IF(OR(E70="NA",F70="NA",G70="NA"),"NA",IF(AND(E70="",F70="",G70=""),"",SUM(E70:G70)))</f>
        <v/>
      </c>
      <c r="I70" s="89"/>
      <c r="J70" s="89"/>
      <c r="K70" s="89"/>
      <c r="L70" s="89"/>
      <c r="M70" s="89" t="str">
        <f t="shared" ref="M70:M77" si="29">IF(OR(H70="NA",I70="NA",J70="NA",K70="NA",L70="NA"),"NA",IF(AND(H70="",I70="",J70="",K70="",L70=""),"",SUM(H70:L70)))</f>
        <v/>
      </c>
      <c r="N70" s="89"/>
      <c r="O70" s="546"/>
      <c r="P70" s="178">
        <f t="shared" si="13"/>
        <v>0</v>
      </c>
      <c r="Q70" s="179">
        <f t="shared" si="14"/>
        <v>0</v>
      </c>
    </row>
    <row r="71" spans="1:17" ht="10.5" customHeight="1" x14ac:dyDescent="0.25">
      <c r="A71" s="143" t="s">
        <v>1889</v>
      </c>
      <c r="B71" s="549" t="s">
        <v>1292</v>
      </c>
      <c r="C71" s="602" t="s">
        <v>3323</v>
      </c>
      <c r="D71" s="611" t="s">
        <v>48</v>
      </c>
      <c r="E71" s="89"/>
      <c r="F71" s="89"/>
      <c r="G71" s="89"/>
      <c r="H71" s="89" t="str">
        <f t="shared" si="28"/>
        <v/>
      </c>
      <c r="I71" s="89"/>
      <c r="J71" s="89"/>
      <c r="K71" s="89"/>
      <c r="L71" s="89"/>
      <c r="M71" s="89" t="str">
        <f t="shared" si="29"/>
        <v/>
      </c>
      <c r="N71" s="89"/>
      <c r="O71" s="546"/>
      <c r="P71" s="178">
        <f t="shared" si="13"/>
        <v>0</v>
      </c>
      <c r="Q71" s="179">
        <f t="shared" si="14"/>
        <v>0</v>
      </c>
    </row>
    <row r="72" spans="1:17" ht="10.5" customHeight="1" x14ac:dyDescent="0.25">
      <c r="A72" s="143" t="s">
        <v>2235</v>
      </c>
      <c r="B72" s="549" t="s">
        <v>357</v>
      </c>
      <c r="C72" s="602" t="s">
        <v>3324</v>
      </c>
      <c r="D72" s="611" t="s">
        <v>48</v>
      </c>
      <c r="E72" s="89"/>
      <c r="F72" s="89"/>
      <c r="G72" s="89"/>
      <c r="H72" s="89" t="str">
        <f t="shared" si="28"/>
        <v/>
      </c>
      <c r="I72" s="89"/>
      <c r="J72" s="89"/>
      <c r="K72" s="89"/>
      <c r="L72" s="89"/>
      <c r="M72" s="89" t="str">
        <f t="shared" si="29"/>
        <v/>
      </c>
      <c r="N72" s="89"/>
      <c r="O72" s="546"/>
      <c r="P72" s="178">
        <f t="shared" ref="P72:P87" si="30">IF(OR(H72="NA",E72="NA",F72="NA",G72="NA"),"NA",SUM(H72)-SUM(E72:G72))</f>
        <v>0</v>
      </c>
      <c r="Q72" s="179">
        <f t="shared" ref="Q72:Q87" si="31">IF(OR(M72="NA",H72="NA",I72="NA",J72="NA",K72="NA",L72="NA"),"NA",SUM(M72)-SUM(H72:L72))</f>
        <v>0</v>
      </c>
    </row>
    <row r="73" spans="1:17" ht="10.5" customHeight="1" x14ac:dyDescent="0.25">
      <c r="A73" s="143" t="s">
        <v>1890</v>
      </c>
      <c r="B73" s="549" t="s">
        <v>1293</v>
      </c>
      <c r="C73" s="602" t="s">
        <v>3325</v>
      </c>
      <c r="D73" s="611" t="s">
        <v>48</v>
      </c>
      <c r="E73" s="89"/>
      <c r="F73" s="89"/>
      <c r="G73" s="89"/>
      <c r="H73" s="89" t="str">
        <f t="shared" si="28"/>
        <v/>
      </c>
      <c r="I73" s="89"/>
      <c r="J73" s="89"/>
      <c r="K73" s="89"/>
      <c r="L73" s="89"/>
      <c r="M73" s="89" t="str">
        <f t="shared" si="29"/>
        <v/>
      </c>
      <c r="N73" s="89"/>
      <c r="O73" s="546"/>
      <c r="P73" s="178">
        <f t="shared" si="30"/>
        <v>0</v>
      </c>
      <c r="Q73" s="179">
        <f t="shared" si="31"/>
        <v>0</v>
      </c>
    </row>
    <row r="74" spans="1:17" ht="10.5" customHeight="1" x14ac:dyDescent="0.25">
      <c r="A74" s="143" t="s">
        <v>2236</v>
      </c>
      <c r="B74" s="549" t="s">
        <v>353</v>
      </c>
      <c r="C74" s="602" t="s">
        <v>3326</v>
      </c>
      <c r="D74" s="611" t="s">
        <v>48</v>
      </c>
      <c r="E74" s="89"/>
      <c r="F74" s="89"/>
      <c r="G74" s="89"/>
      <c r="H74" s="89" t="str">
        <f t="shared" si="28"/>
        <v/>
      </c>
      <c r="I74" s="89"/>
      <c r="J74" s="89"/>
      <c r="K74" s="89"/>
      <c r="L74" s="89"/>
      <c r="M74" s="89" t="str">
        <f t="shared" si="29"/>
        <v/>
      </c>
      <c r="N74" s="89"/>
      <c r="O74" s="546"/>
      <c r="P74" s="178">
        <f t="shared" si="30"/>
        <v>0</v>
      </c>
      <c r="Q74" s="179">
        <f t="shared" si="31"/>
        <v>0</v>
      </c>
    </row>
    <row r="75" spans="1:17" ht="10.5" customHeight="1" x14ac:dyDescent="0.25">
      <c r="A75" s="143" t="s">
        <v>2237</v>
      </c>
      <c r="B75" s="549" t="s">
        <v>354</v>
      </c>
      <c r="C75" s="602" t="s">
        <v>3327</v>
      </c>
      <c r="D75" s="611" t="s">
        <v>48</v>
      </c>
      <c r="E75" s="89"/>
      <c r="F75" s="89"/>
      <c r="G75" s="89"/>
      <c r="H75" s="89" t="str">
        <f t="shared" si="28"/>
        <v/>
      </c>
      <c r="I75" s="89"/>
      <c r="J75" s="89"/>
      <c r="K75" s="89"/>
      <c r="L75" s="89"/>
      <c r="M75" s="89" t="str">
        <f t="shared" si="29"/>
        <v/>
      </c>
      <c r="N75" s="89"/>
      <c r="O75" s="546"/>
      <c r="P75" s="178">
        <f t="shared" si="30"/>
        <v>0</v>
      </c>
      <c r="Q75" s="179">
        <f t="shared" si="31"/>
        <v>0</v>
      </c>
    </row>
    <row r="76" spans="1:17" ht="10.5" customHeight="1" x14ac:dyDescent="0.25">
      <c r="A76" s="143" t="s">
        <v>2238</v>
      </c>
      <c r="B76" s="549" t="s">
        <v>355</v>
      </c>
      <c r="C76" s="602" t="s">
        <v>3328</v>
      </c>
      <c r="D76" s="611" t="s">
        <v>48</v>
      </c>
      <c r="E76" s="89"/>
      <c r="F76" s="89"/>
      <c r="G76" s="89"/>
      <c r="H76" s="89" t="str">
        <f t="shared" si="28"/>
        <v/>
      </c>
      <c r="I76" s="89"/>
      <c r="J76" s="89"/>
      <c r="K76" s="89"/>
      <c r="L76" s="89"/>
      <c r="M76" s="89" t="str">
        <f t="shared" si="29"/>
        <v/>
      </c>
      <c r="N76" s="89"/>
      <c r="O76" s="546"/>
      <c r="P76" s="178">
        <f t="shared" si="30"/>
        <v>0</v>
      </c>
      <c r="Q76" s="179">
        <f t="shared" si="31"/>
        <v>0</v>
      </c>
    </row>
    <row r="77" spans="1:17" ht="10.5" customHeight="1" x14ac:dyDescent="0.25">
      <c r="A77" s="143" t="s">
        <v>2239</v>
      </c>
      <c r="B77" s="551" t="s">
        <v>356</v>
      </c>
      <c r="C77" s="605" t="s">
        <v>3329</v>
      </c>
      <c r="D77" s="632" t="s">
        <v>48</v>
      </c>
      <c r="E77" s="148"/>
      <c r="F77" s="148"/>
      <c r="G77" s="148"/>
      <c r="H77" s="148" t="str">
        <f t="shared" si="28"/>
        <v/>
      </c>
      <c r="I77" s="148"/>
      <c r="J77" s="148"/>
      <c r="K77" s="148"/>
      <c r="L77" s="148"/>
      <c r="M77" s="148" t="str">
        <f t="shared" si="29"/>
        <v/>
      </c>
      <c r="N77" s="148"/>
      <c r="O77" s="546"/>
      <c r="P77" s="181">
        <f t="shared" si="30"/>
        <v>0</v>
      </c>
      <c r="Q77" s="182">
        <f t="shared" si="31"/>
        <v>0</v>
      </c>
    </row>
    <row r="78" spans="1:17" ht="15" customHeight="1" x14ac:dyDescent="0.25">
      <c r="A78" s="143" t="s">
        <v>1891</v>
      </c>
      <c r="B78" s="547" t="s">
        <v>1294</v>
      </c>
      <c r="C78" s="601" t="s">
        <v>3330</v>
      </c>
      <c r="D78" s="611" t="s">
        <v>48</v>
      </c>
      <c r="E78" s="90" t="str">
        <f t="shared" ref="E78:N78" si="32">IF(OR(E79="NA",E80="NA",E81="NA",E82="NA",E83="NA",E84="NA",E85="NA",E86="NA",E87="NA"),"NA",IF(AND(E79="",E80="",E81="",E82="",E83="",E84="",E85="",E86="",E87=""),"",SUM(E79:E87)))</f>
        <v/>
      </c>
      <c r="F78" s="90" t="str">
        <f t="shared" si="32"/>
        <v/>
      </c>
      <c r="G78" s="90" t="str">
        <f t="shared" si="32"/>
        <v/>
      </c>
      <c r="H78" s="90" t="str">
        <f t="shared" si="32"/>
        <v/>
      </c>
      <c r="I78" s="90" t="str">
        <f t="shared" si="32"/>
        <v/>
      </c>
      <c r="J78" s="90" t="str">
        <f t="shared" si="32"/>
        <v/>
      </c>
      <c r="K78" s="90" t="str">
        <f t="shared" si="32"/>
        <v/>
      </c>
      <c r="L78" s="90" t="str">
        <f t="shared" si="32"/>
        <v/>
      </c>
      <c r="M78" s="90" t="str">
        <f t="shared" si="32"/>
        <v/>
      </c>
      <c r="N78" s="90" t="str">
        <f t="shared" si="32"/>
        <v/>
      </c>
      <c r="O78" s="615"/>
      <c r="P78" s="178">
        <f t="shared" si="30"/>
        <v>0</v>
      </c>
      <c r="Q78" s="179">
        <f t="shared" si="31"/>
        <v>0</v>
      </c>
    </row>
    <row r="79" spans="1:17" ht="10.5" customHeight="1" x14ac:dyDescent="0.25">
      <c r="A79" s="143" t="s">
        <v>2240</v>
      </c>
      <c r="B79" s="549" t="s">
        <v>358</v>
      </c>
      <c r="C79" s="602" t="s">
        <v>3331</v>
      </c>
      <c r="D79" s="611" t="s">
        <v>48</v>
      </c>
      <c r="E79" s="89"/>
      <c r="F79" s="89"/>
      <c r="G79" s="89"/>
      <c r="H79" s="89" t="str">
        <f t="shared" ref="H79:H87" si="33">IF(OR(E79="NA",F79="NA",G79="NA"),"NA",IF(AND(E79="",F79="",G79=""),"",SUM(E79:G79)))</f>
        <v/>
      </c>
      <c r="I79" s="89"/>
      <c r="J79" s="89"/>
      <c r="K79" s="93"/>
      <c r="L79" s="89"/>
      <c r="M79" s="89" t="str">
        <f t="shared" ref="M79:M87" si="34">IF(OR(H79="NA",I79="NA",J79="NA",K79="NA",L79="NA"),"NA",IF(AND(H79="",I79="",J79="",K79="",L79=""),"",SUM(H79:L79)))</f>
        <v/>
      </c>
      <c r="N79" s="89"/>
      <c r="O79" s="546"/>
      <c r="P79" s="178">
        <f t="shared" si="30"/>
        <v>0</v>
      </c>
      <c r="Q79" s="179">
        <f t="shared" si="31"/>
        <v>0</v>
      </c>
    </row>
    <row r="80" spans="1:17" ht="10.5" customHeight="1" x14ac:dyDescent="0.25">
      <c r="A80" s="143" t="s">
        <v>2241</v>
      </c>
      <c r="B80" s="549" t="s">
        <v>359</v>
      </c>
      <c r="C80" s="602" t="s">
        <v>3332</v>
      </c>
      <c r="D80" s="611" t="s">
        <v>48</v>
      </c>
      <c r="E80" s="89"/>
      <c r="F80" s="89"/>
      <c r="G80" s="89"/>
      <c r="H80" s="89" t="str">
        <f t="shared" si="33"/>
        <v/>
      </c>
      <c r="I80" s="89"/>
      <c r="J80" s="89"/>
      <c r="K80" s="93"/>
      <c r="L80" s="89"/>
      <c r="M80" s="89" t="str">
        <f t="shared" si="34"/>
        <v/>
      </c>
      <c r="N80" s="89"/>
      <c r="O80" s="546"/>
      <c r="P80" s="178">
        <f t="shared" si="30"/>
        <v>0</v>
      </c>
      <c r="Q80" s="179">
        <f t="shared" si="31"/>
        <v>0</v>
      </c>
    </row>
    <row r="81" spans="1:17" ht="10.5" customHeight="1" x14ac:dyDescent="0.25">
      <c r="A81" s="143" t="s">
        <v>2242</v>
      </c>
      <c r="B81" s="549" t="s">
        <v>360</v>
      </c>
      <c r="C81" s="602" t="s">
        <v>3333</v>
      </c>
      <c r="D81" s="611" t="s">
        <v>48</v>
      </c>
      <c r="E81" s="89"/>
      <c r="F81" s="89"/>
      <c r="G81" s="89"/>
      <c r="H81" s="89" t="str">
        <f t="shared" si="33"/>
        <v/>
      </c>
      <c r="I81" s="89"/>
      <c r="J81" s="89"/>
      <c r="K81" s="93"/>
      <c r="L81" s="89"/>
      <c r="M81" s="89" t="str">
        <f t="shared" si="34"/>
        <v/>
      </c>
      <c r="N81" s="89"/>
      <c r="O81" s="546"/>
      <c r="P81" s="178">
        <f t="shared" si="30"/>
        <v>0</v>
      </c>
      <c r="Q81" s="179">
        <f t="shared" si="31"/>
        <v>0</v>
      </c>
    </row>
    <row r="82" spans="1:17" ht="10.5" customHeight="1" x14ac:dyDescent="0.25">
      <c r="A82" s="143" t="s">
        <v>2243</v>
      </c>
      <c r="B82" s="549" t="s">
        <v>361</v>
      </c>
      <c r="C82" s="602" t="s">
        <v>3334</v>
      </c>
      <c r="D82" s="611" t="s">
        <v>48</v>
      </c>
      <c r="E82" s="89"/>
      <c r="F82" s="89"/>
      <c r="G82" s="89"/>
      <c r="H82" s="89" t="str">
        <f t="shared" si="33"/>
        <v/>
      </c>
      <c r="I82" s="89"/>
      <c r="J82" s="89"/>
      <c r="K82" s="93"/>
      <c r="L82" s="89"/>
      <c r="M82" s="89" t="str">
        <f t="shared" si="34"/>
        <v/>
      </c>
      <c r="N82" s="89"/>
      <c r="O82" s="546"/>
      <c r="P82" s="178">
        <f t="shared" si="30"/>
        <v>0</v>
      </c>
      <c r="Q82" s="179">
        <f t="shared" si="31"/>
        <v>0</v>
      </c>
    </row>
    <row r="83" spans="1:17" ht="10.5" customHeight="1" x14ac:dyDescent="0.25">
      <c r="A83" s="143" t="s">
        <v>2244</v>
      </c>
      <c r="B83" s="549" t="s">
        <v>362</v>
      </c>
      <c r="C83" s="602" t="s">
        <v>3335</v>
      </c>
      <c r="D83" s="611" t="s">
        <v>48</v>
      </c>
      <c r="E83" s="89"/>
      <c r="F83" s="89"/>
      <c r="G83" s="89"/>
      <c r="H83" s="89" t="str">
        <f t="shared" si="33"/>
        <v/>
      </c>
      <c r="I83" s="89"/>
      <c r="J83" s="89"/>
      <c r="K83" s="93"/>
      <c r="L83" s="89"/>
      <c r="M83" s="89" t="str">
        <f t="shared" si="34"/>
        <v/>
      </c>
      <c r="N83" s="89"/>
      <c r="O83" s="546"/>
      <c r="P83" s="178">
        <f t="shared" si="30"/>
        <v>0</v>
      </c>
      <c r="Q83" s="179">
        <f t="shared" si="31"/>
        <v>0</v>
      </c>
    </row>
    <row r="84" spans="1:17" ht="10.5" customHeight="1" x14ac:dyDescent="0.25">
      <c r="A84" s="143" t="s">
        <v>2245</v>
      </c>
      <c r="B84" s="549" t="s">
        <v>363</v>
      </c>
      <c r="C84" s="602" t="s">
        <v>3336</v>
      </c>
      <c r="D84" s="611" t="s">
        <v>48</v>
      </c>
      <c r="E84" s="89"/>
      <c r="F84" s="89"/>
      <c r="G84" s="89"/>
      <c r="H84" s="89" t="str">
        <f t="shared" si="33"/>
        <v/>
      </c>
      <c r="I84" s="89"/>
      <c r="J84" s="89"/>
      <c r="K84" s="93"/>
      <c r="L84" s="89"/>
      <c r="M84" s="89" t="str">
        <f t="shared" si="34"/>
        <v/>
      </c>
      <c r="N84" s="89"/>
      <c r="O84" s="546"/>
      <c r="P84" s="178">
        <f t="shared" si="30"/>
        <v>0</v>
      </c>
      <c r="Q84" s="179">
        <f t="shared" si="31"/>
        <v>0</v>
      </c>
    </row>
    <row r="85" spans="1:17" ht="10.5" customHeight="1" x14ac:dyDescent="0.25">
      <c r="A85" s="143" t="s">
        <v>2246</v>
      </c>
      <c r="B85" s="549" t="s">
        <v>364</v>
      </c>
      <c r="C85" s="602" t="s">
        <v>3337</v>
      </c>
      <c r="D85" s="611" t="s">
        <v>48</v>
      </c>
      <c r="E85" s="89"/>
      <c r="F85" s="89"/>
      <c r="G85" s="89"/>
      <c r="H85" s="89" t="str">
        <f t="shared" si="33"/>
        <v/>
      </c>
      <c r="I85" s="89"/>
      <c r="J85" s="89"/>
      <c r="K85" s="93"/>
      <c r="L85" s="89"/>
      <c r="M85" s="89" t="str">
        <f t="shared" si="34"/>
        <v/>
      </c>
      <c r="N85" s="89"/>
      <c r="O85" s="546"/>
      <c r="P85" s="178">
        <f t="shared" si="30"/>
        <v>0</v>
      </c>
      <c r="Q85" s="179">
        <f t="shared" si="31"/>
        <v>0</v>
      </c>
    </row>
    <row r="86" spans="1:17" ht="10.5" customHeight="1" x14ac:dyDescent="0.25">
      <c r="A86" s="143" t="s">
        <v>2247</v>
      </c>
      <c r="B86" s="549" t="s">
        <v>365</v>
      </c>
      <c r="C86" s="602" t="s">
        <v>3338</v>
      </c>
      <c r="D86" s="611" t="s">
        <v>48</v>
      </c>
      <c r="E86" s="89"/>
      <c r="F86" s="89"/>
      <c r="G86" s="89"/>
      <c r="H86" s="89" t="str">
        <f t="shared" si="33"/>
        <v/>
      </c>
      <c r="I86" s="89"/>
      <c r="J86" s="89"/>
      <c r="K86" s="93"/>
      <c r="L86" s="89"/>
      <c r="M86" s="89" t="str">
        <f t="shared" si="34"/>
        <v/>
      </c>
      <c r="N86" s="89"/>
      <c r="O86" s="546"/>
      <c r="P86" s="178">
        <f t="shared" si="30"/>
        <v>0</v>
      </c>
      <c r="Q86" s="179">
        <f t="shared" si="31"/>
        <v>0</v>
      </c>
    </row>
    <row r="87" spans="1:17" ht="10.5" customHeight="1" x14ac:dyDescent="0.25">
      <c r="A87" s="143" t="s">
        <v>2248</v>
      </c>
      <c r="B87" s="549" t="s">
        <v>366</v>
      </c>
      <c r="C87" s="602" t="s">
        <v>3339</v>
      </c>
      <c r="D87" s="623" t="s">
        <v>48</v>
      </c>
      <c r="E87" s="89"/>
      <c r="F87" s="89"/>
      <c r="G87" s="89"/>
      <c r="H87" s="89" t="str">
        <f t="shared" si="33"/>
        <v/>
      </c>
      <c r="I87" s="89"/>
      <c r="J87" s="89"/>
      <c r="K87" s="93"/>
      <c r="L87" s="89"/>
      <c r="M87" s="89" t="str">
        <f t="shared" si="34"/>
        <v/>
      </c>
      <c r="N87" s="89"/>
      <c r="O87" s="546"/>
      <c r="P87" s="178">
        <f t="shared" si="30"/>
        <v>0</v>
      </c>
      <c r="Q87" s="179">
        <f t="shared" si="31"/>
        <v>0</v>
      </c>
    </row>
    <row r="88" spans="1:17" ht="15.6" customHeight="1" x14ac:dyDescent="0.25">
      <c r="A88" s="143" t="s">
        <v>1951</v>
      </c>
      <c r="B88" s="564" t="s">
        <v>310</v>
      </c>
      <c r="C88" s="565" t="s">
        <v>3340</v>
      </c>
      <c r="D88" s="566" t="s">
        <v>48</v>
      </c>
      <c r="E88" s="185">
        <f t="shared" ref="E88:N88" si="35">IF(OR(E8="NA",E9="NA",E18="NA",E24="NA",E31="NA",E41="NA",E48="NA",E55="NA",E62="NA",E69="NA",E78="NA"),"NA",SUM(E8)-SUM(E9)-SUM(E18)-SUM(E24)-SUM(E31)-SUM(E41)-SUM(E48)-SUM(E55)-SUM(E62)-SUM(E69)-SUM(E78))</f>
        <v>0</v>
      </c>
      <c r="F88" s="185">
        <f t="shared" si="35"/>
        <v>0</v>
      </c>
      <c r="G88" s="185">
        <f t="shared" si="35"/>
        <v>0</v>
      </c>
      <c r="H88" s="185">
        <f t="shared" si="35"/>
        <v>0</v>
      </c>
      <c r="I88" s="185">
        <f t="shared" si="35"/>
        <v>0</v>
      </c>
      <c r="J88" s="185">
        <f t="shared" si="35"/>
        <v>0</v>
      </c>
      <c r="K88" s="185">
        <f t="shared" si="35"/>
        <v>0</v>
      </c>
      <c r="L88" s="185">
        <f t="shared" si="35"/>
        <v>0</v>
      </c>
      <c r="M88" s="185">
        <f t="shared" si="35"/>
        <v>0</v>
      </c>
      <c r="N88" s="185">
        <f t="shared" si="35"/>
        <v>0</v>
      </c>
      <c r="O88" s="546"/>
      <c r="P88" s="291"/>
      <c r="Q88" s="291"/>
    </row>
    <row r="89" spans="1:17" ht="10.5" customHeight="1" x14ac:dyDescent="0.2">
      <c r="A89" s="430"/>
      <c r="B89" s="580"/>
      <c r="C89" s="531"/>
      <c r="D89" s="531"/>
      <c r="E89" s="648"/>
      <c r="F89" s="648"/>
      <c r="G89" s="648"/>
      <c r="H89" s="648"/>
      <c r="I89" s="648"/>
      <c r="J89" s="648"/>
      <c r="K89" s="648"/>
      <c r="L89" s="648"/>
      <c r="M89" s="648"/>
      <c r="N89" s="648"/>
      <c r="O89" s="616"/>
      <c r="P89" s="258"/>
      <c r="Q89" s="258"/>
    </row>
    <row r="90" spans="1:17" s="279" customFormat="1" ht="15" customHeight="1" x14ac:dyDescent="0.2">
      <c r="B90" s="717" t="s">
        <v>3341</v>
      </c>
      <c r="C90" s="195"/>
      <c r="D90" s="195"/>
      <c r="E90" s="239"/>
      <c r="F90" s="239"/>
      <c r="G90" s="239"/>
      <c r="H90" s="239"/>
      <c r="I90" s="239"/>
      <c r="J90" s="239"/>
      <c r="K90" s="239"/>
      <c r="L90" s="239"/>
      <c r="M90" s="239"/>
      <c r="N90" s="240"/>
      <c r="O90" s="259"/>
      <c r="P90" s="280"/>
      <c r="Q90" s="280"/>
    </row>
    <row r="91" spans="1:17" ht="12.95" customHeight="1" x14ac:dyDescent="0.25">
      <c r="B91" s="200" t="s">
        <v>3523</v>
      </c>
      <c r="E91" s="243"/>
      <c r="F91" s="243"/>
      <c r="G91" s="243"/>
      <c r="H91" s="243"/>
      <c r="I91" s="243"/>
      <c r="J91" s="243"/>
      <c r="K91" s="243"/>
      <c r="L91" s="243"/>
      <c r="M91" s="243"/>
      <c r="N91" s="243"/>
      <c r="O91" s="177"/>
      <c r="P91" s="258"/>
      <c r="Q91" s="258"/>
    </row>
    <row r="92" spans="1:17" ht="9.75" customHeight="1" x14ac:dyDescent="0.25">
      <c r="B92" s="200"/>
      <c r="C92" s="76" t="s">
        <v>2621</v>
      </c>
      <c r="E92" s="243">
        <f>IF(OR(E8="NA",E9="NA",E18="NA",E24="NA",E31="NA",E41="NA",E48="NA",E55="NA",E62="NA",E69="NA",E78="NA"),"NA",-SUM(E8)+SUM(E9)+SUM(E18)+SUM(E24)+SUM(E31)+SUM(E41)+SUM(E48)+SUM(E55)+SUM(E62)+SUM(E69)+SUM(E78))</f>
        <v>0</v>
      </c>
      <c r="F92" s="243">
        <f t="shared" ref="F92:N92" si="36">IF(OR(F8="NA",F9="NA",F18="NA",F24="NA",F31="NA",F41="NA",F48="NA",F55="NA",F62="NA",F69="NA",F78="NA"),"NA",-SUM(F8)+SUM(F9)+SUM(F18)+SUM(F24)+SUM(F31)+SUM(F41)+SUM(F48)+SUM(F55)+SUM(F62)+SUM(F69)+SUM(F78))</f>
        <v>0</v>
      </c>
      <c r="G92" s="243">
        <f t="shared" si="36"/>
        <v>0</v>
      </c>
      <c r="H92" s="243">
        <f t="shared" si="36"/>
        <v>0</v>
      </c>
      <c r="I92" s="243">
        <f t="shared" si="36"/>
        <v>0</v>
      </c>
      <c r="J92" s="243">
        <f t="shared" si="36"/>
        <v>0</v>
      </c>
      <c r="K92" s="243">
        <f t="shared" si="36"/>
        <v>0</v>
      </c>
      <c r="L92" s="243">
        <f t="shared" si="36"/>
        <v>0</v>
      </c>
      <c r="M92" s="243">
        <f t="shared" si="36"/>
        <v>0</v>
      </c>
      <c r="N92" s="243">
        <f t="shared" si="36"/>
        <v>0</v>
      </c>
      <c r="O92" s="177"/>
      <c r="P92" s="258"/>
      <c r="Q92" s="258"/>
    </row>
    <row r="93" spans="1:17" ht="12.95" customHeight="1" x14ac:dyDescent="0.25">
      <c r="B93" s="200" t="s">
        <v>3552</v>
      </c>
      <c r="C93" s="76"/>
      <c r="D93" s="103" t="s">
        <v>48</v>
      </c>
      <c r="E93" s="243"/>
      <c r="F93" s="243"/>
      <c r="G93" s="243"/>
      <c r="H93" s="243"/>
      <c r="I93" s="243"/>
      <c r="J93" s="243"/>
      <c r="K93" s="243"/>
      <c r="L93" s="243"/>
      <c r="M93" s="243"/>
      <c r="N93" s="243"/>
      <c r="O93" s="177"/>
      <c r="P93" s="258"/>
      <c r="Q93" s="258"/>
    </row>
    <row r="94" spans="1:17" ht="9.75" customHeight="1" x14ac:dyDescent="0.25">
      <c r="B94" s="233"/>
      <c r="C94" s="76" t="s">
        <v>899</v>
      </c>
      <c r="D94" s="76" t="s">
        <v>48</v>
      </c>
      <c r="E94" s="243">
        <f t="shared" ref="E94:N94" si="37">IF(OR(E9="NA",E10="NA",E11="NA",E12="NA",E13="NA",E14="NA",E15="NA",E16="NA",E17="NA"),"NA",-SUM(E9)+SUM(E10)+SUM(E11)+SUM(E12)+SUM(E13)+SUM(E14)+SUM(E15)+SUM(E16)+SUM(E17))</f>
        <v>0</v>
      </c>
      <c r="F94" s="243">
        <f t="shared" si="37"/>
        <v>0</v>
      </c>
      <c r="G94" s="243">
        <f t="shared" si="37"/>
        <v>0</v>
      </c>
      <c r="H94" s="243">
        <f t="shared" si="37"/>
        <v>0</v>
      </c>
      <c r="I94" s="243">
        <f t="shared" si="37"/>
        <v>0</v>
      </c>
      <c r="J94" s="243">
        <f t="shared" si="37"/>
        <v>0</v>
      </c>
      <c r="K94" s="243">
        <f t="shared" si="37"/>
        <v>0</v>
      </c>
      <c r="L94" s="243">
        <f t="shared" si="37"/>
        <v>0</v>
      </c>
      <c r="M94" s="243">
        <f t="shared" si="37"/>
        <v>0</v>
      </c>
      <c r="N94" s="243">
        <f t="shared" si="37"/>
        <v>0</v>
      </c>
      <c r="O94" s="177"/>
      <c r="P94" s="258"/>
      <c r="Q94" s="258"/>
    </row>
    <row r="95" spans="1:17" ht="9.75" customHeight="1" x14ac:dyDescent="0.25">
      <c r="B95" s="233"/>
      <c r="C95" s="76" t="s">
        <v>900</v>
      </c>
      <c r="D95" s="76" t="s">
        <v>48</v>
      </c>
      <c r="E95" s="243">
        <f t="shared" ref="E95:N95" si="38">IF(OR(E18="NA",E19="NA",E20="NA",E21="NA",E22="NA",E23="NA"),"NA",-SUM(E18)+SUM(E19)+SUM(E20)+SUM(E21)+SUM(E22)+SUM(E23))</f>
        <v>0</v>
      </c>
      <c r="F95" s="243">
        <f t="shared" si="38"/>
        <v>0</v>
      </c>
      <c r="G95" s="243">
        <f t="shared" si="38"/>
        <v>0</v>
      </c>
      <c r="H95" s="243">
        <f t="shared" si="38"/>
        <v>0</v>
      </c>
      <c r="I95" s="243">
        <f t="shared" si="38"/>
        <v>0</v>
      </c>
      <c r="J95" s="243">
        <f t="shared" si="38"/>
        <v>0</v>
      </c>
      <c r="K95" s="243">
        <f t="shared" si="38"/>
        <v>0</v>
      </c>
      <c r="L95" s="243">
        <f t="shared" si="38"/>
        <v>0</v>
      </c>
      <c r="M95" s="243">
        <f t="shared" si="38"/>
        <v>0</v>
      </c>
      <c r="N95" s="243">
        <f t="shared" si="38"/>
        <v>0</v>
      </c>
      <c r="O95" s="177"/>
      <c r="P95" s="258"/>
      <c r="Q95" s="258"/>
    </row>
    <row r="96" spans="1:17" ht="9.75" customHeight="1" x14ac:dyDescent="0.25">
      <c r="B96" s="233"/>
      <c r="C96" s="76" t="s">
        <v>901</v>
      </c>
      <c r="D96" s="76" t="s">
        <v>48</v>
      </c>
      <c r="E96" s="243">
        <f t="shared" ref="E96:N96" si="39">IF(OR(E24="NA",E25="NA",E26="NA",E27="NA",E28="NA",E29="NA",E30="NA"),"NA",-SUM(E24)+SUM(E25)+SUM(E26)+SUM(E27)+SUM(E28)+SUM(E29)+SUM(E30))</f>
        <v>0</v>
      </c>
      <c r="F96" s="243">
        <f t="shared" si="39"/>
        <v>0</v>
      </c>
      <c r="G96" s="243">
        <f t="shared" si="39"/>
        <v>0</v>
      </c>
      <c r="H96" s="243">
        <f t="shared" si="39"/>
        <v>0</v>
      </c>
      <c r="I96" s="243">
        <f t="shared" si="39"/>
        <v>0</v>
      </c>
      <c r="J96" s="243">
        <f t="shared" si="39"/>
        <v>0</v>
      </c>
      <c r="K96" s="243">
        <f t="shared" si="39"/>
        <v>0</v>
      </c>
      <c r="L96" s="243">
        <f t="shared" si="39"/>
        <v>0</v>
      </c>
      <c r="M96" s="243">
        <f t="shared" si="39"/>
        <v>0</v>
      </c>
      <c r="N96" s="243">
        <f t="shared" si="39"/>
        <v>0</v>
      </c>
      <c r="O96" s="177"/>
      <c r="P96" s="258"/>
      <c r="Q96" s="258"/>
    </row>
    <row r="97" spans="2:17" ht="9.75" customHeight="1" x14ac:dyDescent="0.25">
      <c r="B97" s="233"/>
      <c r="C97" s="76" t="s">
        <v>902</v>
      </c>
      <c r="D97" s="76" t="s">
        <v>48</v>
      </c>
      <c r="E97" s="243">
        <f t="shared" ref="E97:N97" si="40">IF(OR(E31="NA",E32="NA",E33="NA",E34="NA",E35="NA",E36="NA",E37="NA",E38="NA",E39="NA",E40="NA"),"NA",-SUM(E31)+SUM(E32)+SUM(E33)+SUM(E34)+SUM(E35)+SUM(E36)+SUM(E37)+SUM(E38)+SUM(E39)+SUM(E40))</f>
        <v>0</v>
      </c>
      <c r="F97" s="243">
        <f t="shared" si="40"/>
        <v>0</v>
      </c>
      <c r="G97" s="243">
        <f t="shared" si="40"/>
        <v>0</v>
      </c>
      <c r="H97" s="243">
        <f t="shared" si="40"/>
        <v>0</v>
      </c>
      <c r="I97" s="243">
        <f t="shared" si="40"/>
        <v>0</v>
      </c>
      <c r="J97" s="243">
        <f t="shared" si="40"/>
        <v>0</v>
      </c>
      <c r="K97" s="243">
        <f t="shared" si="40"/>
        <v>0</v>
      </c>
      <c r="L97" s="243">
        <f t="shared" si="40"/>
        <v>0</v>
      </c>
      <c r="M97" s="243">
        <f t="shared" si="40"/>
        <v>0</v>
      </c>
      <c r="N97" s="243">
        <f t="shared" si="40"/>
        <v>0</v>
      </c>
      <c r="O97" s="177"/>
      <c r="P97" s="258"/>
      <c r="Q97" s="258"/>
    </row>
    <row r="98" spans="2:17" ht="9.75" customHeight="1" x14ac:dyDescent="0.25">
      <c r="B98" s="233"/>
      <c r="C98" s="76" t="s">
        <v>903</v>
      </c>
      <c r="D98" s="76" t="s">
        <v>48</v>
      </c>
      <c r="E98" s="243">
        <f t="shared" ref="E98:N98" si="41">IF(OR(E41="NA",E42="NA",E43="NA",E44="NA",E45="NA",E46="NA",E47="NA"),"NA",-SUM(E41)+SUM(E42)+SUM(E43)+SUM(E44)+SUM(E45)+SUM(E46)+SUM(E47))</f>
        <v>0</v>
      </c>
      <c r="F98" s="243">
        <f t="shared" si="41"/>
        <v>0</v>
      </c>
      <c r="G98" s="243">
        <f t="shared" si="41"/>
        <v>0</v>
      </c>
      <c r="H98" s="243">
        <f t="shared" si="41"/>
        <v>0</v>
      </c>
      <c r="I98" s="243">
        <f t="shared" si="41"/>
        <v>0</v>
      </c>
      <c r="J98" s="243">
        <f t="shared" si="41"/>
        <v>0</v>
      </c>
      <c r="K98" s="243">
        <f t="shared" si="41"/>
        <v>0</v>
      </c>
      <c r="L98" s="243">
        <f t="shared" si="41"/>
        <v>0</v>
      </c>
      <c r="M98" s="243">
        <f t="shared" si="41"/>
        <v>0</v>
      </c>
      <c r="N98" s="243">
        <f t="shared" si="41"/>
        <v>0</v>
      </c>
      <c r="O98" s="177"/>
      <c r="P98" s="258"/>
      <c r="Q98" s="258"/>
    </row>
    <row r="99" spans="2:17" ht="9.75" customHeight="1" x14ac:dyDescent="0.25">
      <c r="B99" s="233"/>
      <c r="C99" s="76" t="s">
        <v>904</v>
      </c>
      <c r="D99" s="76" t="s">
        <v>48</v>
      </c>
      <c r="E99" s="243">
        <f t="shared" ref="E99:N99" si="42">IF(OR(E48="NA",E49="NA",E50="NA",E51="NA",E52="NA",E53="NA",E54="NA"),"NA",-SUM(E48)+SUM(E49)+SUM(E50)+SUM(E51)+SUM(E52)+SUM(E53)+SUM(E54))</f>
        <v>0</v>
      </c>
      <c r="F99" s="243">
        <f t="shared" si="42"/>
        <v>0</v>
      </c>
      <c r="G99" s="243">
        <f t="shared" si="42"/>
        <v>0</v>
      </c>
      <c r="H99" s="243">
        <f t="shared" si="42"/>
        <v>0</v>
      </c>
      <c r="I99" s="243">
        <f t="shared" si="42"/>
        <v>0</v>
      </c>
      <c r="J99" s="243">
        <f t="shared" si="42"/>
        <v>0</v>
      </c>
      <c r="K99" s="243">
        <f t="shared" si="42"/>
        <v>0</v>
      </c>
      <c r="L99" s="243">
        <f t="shared" si="42"/>
        <v>0</v>
      </c>
      <c r="M99" s="243">
        <f t="shared" si="42"/>
        <v>0</v>
      </c>
      <c r="N99" s="243">
        <f t="shared" si="42"/>
        <v>0</v>
      </c>
      <c r="O99" s="177"/>
      <c r="P99" s="258"/>
      <c r="Q99" s="258"/>
    </row>
    <row r="100" spans="2:17" ht="9.75" customHeight="1" x14ac:dyDescent="0.25">
      <c r="B100" s="233"/>
      <c r="C100" s="76" t="s">
        <v>905</v>
      </c>
      <c r="D100" s="76" t="s">
        <v>48</v>
      </c>
      <c r="E100" s="243">
        <f t="shared" ref="E100:N100" si="43">IF(OR(E55="NA",E56="NA",E57="NA",E58="NA",E59="NA",E60="NA",E61="NA"),"NA",-SUM(E55)+SUM(E56)+SUM(E57)+SUM(E58)+SUM(E59)+SUM(E60)+SUM(E61))</f>
        <v>0</v>
      </c>
      <c r="F100" s="243">
        <f t="shared" si="43"/>
        <v>0</v>
      </c>
      <c r="G100" s="243">
        <f t="shared" si="43"/>
        <v>0</v>
      </c>
      <c r="H100" s="243">
        <f t="shared" si="43"/>
        <v>0</v>
      </c>
      <c r="I100" s="243">
        <f t="shared" si="43"/>
        <v>0</v>
      </c>
      <c r="J100" s="243">
        <f t="shared" si="43"/>
        <v>0</v>
      </c>
      <c r="K100" s="243">
        <f t="shared" si="43"/>
        <v>0</v>
      </c>
      <c r="L100" s="243">
        <f t="shared" si="43"/>
        <v>0</v>
      </c>
      <c r="M100" s="243">
        <f t="shared" si="43"/>
        <v>0</v>
      </c>
      <c r="N100" s="243">
        <f t="shared" si="43"/>
        <v>0</v>
      </c>
      <c r="O100" s="177"/>
      <c r="P100" s="258"/>
      <c r="Q100" s="258"/>
    </row>
    <row r="101" spans="2:17" ht="9.75" customHeight="1" x14ac:dyDescent="0.25">
      <c r="B101" s="233"/>
      <c r="C101" s="76" t="s">
        <v>906</v>
      </c>
      <c r="D101" s="76" t="s">
        <v>48</v>
      </c>
      <c r="E101" s="243">
        <f t="shared" ref="E101:N101" si="44">IF(OR(E62="NA",E63="NA",E64="NA",E65="NA",E66="NA",E67="NA",E68="NA"),"NA",-SUM(E62)+SUM(E63)+SUM(E64)+SUM(E65)+SUM(E66)+SUM(E67)+SUM(E68))</f>
        <v>0</v>
      </c>
      <c r="F101" s="243">
        <f t="shared" si="44"/>
        <v>0</v>
      </c>
      <c r="G101" s="243">
        <f t="shared" si="44"/>
        <v>0</v>
      </c>
      <c r="H101" s="243">
        <f t="shared" si="44"/>
        <v>0</v>
      </c>
      <c r="I101" s="243">
        <f t="shared" si="44"/>
        <v>0</v>
      </c>
      <c r="J101" s="243">
        <f t="shared" si="44"/>
        <v>0</v>
      </c>
      <c r="K101" s="243">
        <f t="shared" si="44"/>
        <v>0</v>
      </c>
      <c r="L101" s="243">
        <f t="shared" si="44"/>
        <v>0</v>
      </c>
      <c r="M101" s="243">
        <f t="shared" si="44"/>
        <v>0</v>
      </c>
      <c r="N101" s="243">
        <f t="shared" si="44"/>
        <v>0</v>
      </c>
      <c r="O101" s="177"/>
      <c r="P101" s="258"/>
      <c r="Q101" s="258"/>
    </row>
    <row r="102" spans="2:17" ht="9.75" customHeight="1" x14ac:dyDescent="0.25">
      <c r="B102" s="233"/>
      <c r="C102" s="76" t="s">
        <v>907</v>
      </c>
      <c r="D102" s="76" t="s">
        <v>48</v>
      </c>
      <c r="E102" s="243">
        <f t="shared" ref="E102:N102" si="45">IF(OR(E69="NA",E70="NA",E71="NA",E72="NA",E73="NA",E74="NA",E75="NA",E76="NA",E77="NA"),"NA",-SUM(E69)+SUM(E70)+SUM(E71)+SUM(E72)+SUM(E73)+SUM(E74)+SUM(E75)+SUM(E76)+SUM(E77))</f>
        <v>0</v>
      </c>
      <c r="F102" s="243">
        <f t="shared" si="45"/>
        <v>0</v>
      </c>
      <c r="G102" s="243">
        <f t="shared" si="45"/>
        <v>0</v>
      </c>
      <c r="H102" s="243">
        <f t="shared" si="45"/>
        <v>0</v>
      </c>
      <c r="I102" s="243">
        <f t="shared" si="45"/>
        <v>0</v>
      </c>
      <c r="J102" s="243">
        <f t="shared" si="45"/>
        <v>0</v>
      </c>
      <c r="K102" s="243">
        <f t="shared" si="45"/>
        <v>0</v>
      </c>
      <c r="L102" s="243">
        <f t="shared" si="45"/>
        <v>0</v>
      </c>
      <c r="M102" s="243">
        <f t="shared" si="45"/>
        <v>0</v>
      </c>
      <c r="N102" s="243">
        <f t="shared" si="45"/>
        <v>0</v>
      </c>
      <c r="O102" s="177"/>
      <c r="P102" s="258"/>
      <c r="Q102" s="258"/>
    </row>
    <row r="103" spans="2:17" ht="9.75" customHeight="1" x14ac:dyDescent="0.25">
      <c r="B103" s="204"/>
      <c r="C103" s="140" t="s">
        <v>908</v>
      </c>
      <c r="D103" s="263" t="s">
        <v>48</v>
      </c>
      <c r="E103" s="244">
        <f t="shared" ref="E103:N103" si="46">IF(OR(E78="NA",E79="NA",E80="NA",E81="NA",E82="NA",E83="NA",E84="NA",E85="NA",E86="NA",E87="NA"),"NA",-SUM(E78)+SUM(E79)+SUM(E80)+SUM(E81)+SUM(E82)+SUM(E83)+SUM(E84)+SUM(E85)+SUM(E86)+SUM(E87))</f>
        <v>0</v>
      </c>
      <c r="F103" s="244">
        <f t="shared" si="46"/>
        <v>0</v>
      </c>
      <c r="G103" s="244">
        <f t="shared" si="46"/>
        <v>0</v>
      </c>
      <c r="H103" s="244">
        <f t="shared" si="46"/>
        <v>0</v>
      </c>
      <c r="I103" s="244">
        <f t="shared" si="46"/>
        <v>0</v>
      </c>
      <c r="J103" s="244">
        <f t="shared" si="46"/>
        <v>0</v>
      </c>
      <c r="K103" s="244">
        <f t="shared" si="46"/>
        <v>0</v>
      </c>
      <c r="L103" s="244">
        <f t="shared" si="46"/>
        <v>0</v>
      </c>
      <c r="M103" s="244">
        <f t="shared" si="46"/>
        <v>0</v>
      </c>
      <c r="N103" s="244">
        <f t="shared" si="46"/>
        <v>0</v>
      </c>
      <c r="O103" s="177"/>
      <c r="P103" s="258"/>
      <c r="Q103" s="258"/>
    </row>
    <row r="104" spans="2:17" s="103" customFormat="1" ht="10.9" customHeight="1" x14ac:dyDescent="0.15">
      <c r="B104" s="697" t="s">
        <v>2777</v>
      </c>
      <c r="C104" s="714"/>
      <c r="E104" s="212"/>
      <c r="F104" s="212"/>
      <c r="G104" s="212"/>
      <c r="H104" s="212"/>
      <c r="I104" s="212"/>
      <c r="J104" s="212"/>
      <c r="K104" s="212"/>
      <c r="L104" s="212"/>
      <c r="M104" s="212"/>
      <c r="N104" s="212"/>
      <c r="O104" s="191"/>
      <c r="P104" s="191"/>
      <c r="Q104" s="191"/>
    </row>
    <row r="105" spans="2:17" s="103" customFormat="1" ht="9.75" customHeight="1" x14ac:dyDescent="0.15">
      <c r="B105" s="697"/>
      <c r="C105" s="698" t="s">
        <v>2959</v>
      </c>
      <c r="E105" s="212"/>
      <c r="F105" s="212"/>
      <c r="G105" s="212"/>
      <c r="H105" s="212"/>
      <c r="I105" s="212"/>
      <c r="J105" s="212"/>
      <c r="K105" s="212"/>
      <c r="L105" s="212"/>
      <c r="M105" s="212"/>
      <c r="N105" s="212"/>
      <c r="O105" s="191"/>
      <c r="P105" s="191"/>
      <c r="Q105" s="191"/>
    </row>
    <row r="106" spans="2:17" s="257" customFormat="1" ht="9.75" customHeight="1" x14ac:dyDescent="0.15">
      <c r="B106" s="190"/>
      <c r="C106" s="214" t="s">
        <v>3438</v>
      </c>
      <c r="D106" s="103"/>
      <c r="E106" s="215"/>
      <c r="F106" s="215"/>
      <c r="G106" s="215"/>
      <c r="H106" s="215"/>
      <c r="I106" s="215"/>
      <c r="J106" s="215"/>
      <c r="K106" s="215"/>
      <c r="L106" s="215"/>
      <c r="M106" s="203" t="str">
        <f>IF(OR(M14="NA"),"NA",IF(ROUND(SUM(M14),1)=0,"si","verificar!"))</f>
        <v>si</v>
      </c>
      <c r="N106" s="215"/>
      <c r="O106" s="191"/>
      <c r="P106" s="191"/>
      <c r="Q106" s="267"/>
    </row>
    <row r="107" spans="2:17" s="257" customFormat="1" ht="9.75" customHeight="1" x14ac:dyDescent="0.15">
      <c r="B107" s="190"/>
      <c r="C107" s="214"/>
      <c r="D107" s="103"/>
      <c r="E107" s="215"/>
      <c r="F107" s="215"/>
      <c r="G107" s="215"/>
      <c r="H107" s="215"/>
      <c r="I107" s="215"/>
      <c r="J107" s="215"/>
      <c r="K107" s="215"/>
      <c r="L107" s="215"/>
      <c r="M107" s="215"/>
      <c r="N107" s="215"/>
      <c r="O107" s="191"/>
      <c r="P107" s="191"/>
      <c r="Q107" s="267"/>
    </row>
    <row r="108" spans="2:17" ht="11.65" customHeight="1" x14ac:dyDescent="0.25">
      <c r="B108" s="275" t="s">
        <v>2681</v>
      </c>
      <c r="C108" s="76"/>
      <c r="D108" s="76"/>
      <c r="E108" s="242"/>
      <c r="F108" s="242"/>
      <c r="G108" s="242"/>
      <c r="H108" s="242"/>
      <c r="I108" s="242"/>
      <c r="J108" s="242"/>
      <c r="K108" s="242"/>
      <c r="L108" s="242"/>
      <c r="M108" s="242"/>
      <c r="N108" s="242"/>
      <c r="O108" s="177"/>
      <c r="P108" s="202"/>
      <c r="Q108" s="202"/>
    </row>
    <row r="109" spans="2:17" x14ac:dyDescent="0.2">
      <c r="B109" s="204"/>
      <c r="C109" s="140" t="s">
        <v>3439</v>
      </c>
      <c r="D109" s="140" t="s">
        <v>48</v>
      </c>
      <c r="E109" s="244">
        <f>IF(OR(E16="NA",Table2!E16="NA"),"NA",-SUM(E16)+SUM(Table2!E16))</f>
        <v>24099.318120999997</v>
      </c>
      <c r="F109" s="244">
        <f>IF(OR(F16="NA",Table2!F16="NA"),"NA",-SUM(F16)+SUM(Table2!F16))</f>
        <v>8.8091280000000012</v>
      </c>
      <c r="G109" s="244">
        <f>IF(OR(G16="NA",Table2!G16="NA"),"NA",-SUM(G16)+SUM(Table2!G16))</f>
        <v>0</v>
      </c>
      <c r="H109" s="244">
        <f>IF(OR(H16="NA",Table2!H16="NA"),"NA",-SUM(H16)+SUM(Table2!H16))</f>
        <v>24108.127248999994</v>
      </c>
      <c r="I109" s="244">
        <f>IF(OR(I16="NA",Table2!I16="NA"),"NA",-SUM(I16)+SUM(Table2!I16))</f>
        <v>4.6810000000000003E-3</v>
      </c>
      <c r="J109" s="244">
        <f>IF(OR(J16="NA",Table2!J16="NA"),"NA",-SUM(J16)+SUM(Table2!J16))</f>
        <v>383.09631499999995</v>
      </c>
      <c r="K109" s="244">
        <f>IF(OR(K16="NA",Table2!K16="NA"),"NA",-SUM(K16)+SUM(Table2!K16))</f>
        <v>646.20284500000002</v>
      </c>
      <c r="L109" s="244">
        <f>IF(OR(L16="NA",Table2!L16="NA"),"NA",-SUM(L16)+SUM(Table2!L16))</f>
        <v>-358.78285000000108</v>
      </c>
      <c r="M109" s="244">
        <f>IF(OR(M16="NA",Table2!M16="NA"),"NA",-SUM(M16)+SUM(Table2!M16))</f>
        <v>24778.648239999999</v>
      </c>
      <c r="N109" s="244">
        <f>IF(OR(N16="NA",Table2!N16="NA"),"NA",-SUM(N16)+SUM(Table2!N16))</f>
        <v>24108.131929999996</v>
      </c>
    </row>
    <row r="110" spans="2:17" x14ac:dyDescent="0.2">
      <c r="B110" s="735" t="s">
        <v>3342</v>
      </c>
      <c r="C110" s="76"/>
      <c r="D110" s="251" t="s">
        <v>48</v>
      </c>
      <c r="E110" s="243"/>
      <c r="F110" s="243"/>
      <c r="G110" s="243"/>
      <c r="H110" s="243"/>
      <c r="I110" s="243"/>
      <c r="J110" s="243"/>
      <c r="K110" s="243"/>
      <c r="L110" s="243"/>
      <c r="M110" s="243"/>
      <c r="N110" s="243"/>
    </row>
    <row r="111" spans="2:17" x14ac:dyDescent="0.2">
      <c r="B111" s="233"/>
      <c r="C111" s="76" t="s">
        <v>898</v>
      </c>
      <c r="D111" s="76" t="s">
        <v>48</v>
      </c>
      <c r="E111" s="243">
        <f>IF(OR(E8="NA",Table2!E8="NA",Table3!E9="NA"),"NA",-SUM(E8)+SUM(Table2!E8)+SUM(Table3!E9))</f>
        <v>223928.79378599999</v>
      </c>
      <c r="F111" s="243">
        <f>IF(OR(F8="NA",Table2!F8="NA",Table3!F9="NA"),"NA",-SUM(F8)+SUM(Table2!F8)+SUM(Table3!F9))</f>
        <v>4154.8208509999995</v>
      </c>
      <c r="G111" s="243">
        <f>IF(OR(G8="NA",Table2!G8="NA",Table3!G9="NA"),"NA",-SUM(G8)+SUM(Table2!G8)+SUM(Table3!G9))</f>
        <v>-3382.9422169999889</v>
      </c>
      <c r="H111" s="243">
        <f>IF(OR(H8="NA",Table2!H8="NA",Table3!H9="NA"),"NA",-SUM(H8)+SUM(Table2!H8)+SUM(Table3!H9))</f>
        <v>224700.67241999999</v>
      </c>
      <c r="I111" s="243">
        <f>IF(OR(I8="NA",Table2!I8="NA",Table3!I9="NA"),"NA",-SUM(I8)+SUM(Table2!I8)+SUM(Table3!I9))</f>
        <v>3270.6657459999997</v>
      </c>
      <c r="J111" s="243">
        <f>IF(OR(J8="NA",Table2!J8="NA",Table3!J9="NA"),"NA",-SUM(J8)+SUM(Table2!J8)+SUM(Table3!J9))</f>
        <v>28701.584195260133</v>
      </c>
      <c r="K111" s="243">
        <f>IF(OR(K8="NA",Table2!K8="NA",Table3!K9="NA"),"NA",-SUM(K8)+SUM(Table2!K8)+SUM(Table3!K9))</f>
        <v>68488.508537000002</v>
      </c>
      <c r="L111" s="243">
        <f>IF(OR(L8="NA",Table2!L8="NA",Table3!L9="NA"),"NA",-SUM(L8)+SUM(Table2!L8)+SUM(Table3!L9))</f>
        <v>-59207.460456000001</v>
      </c>
      <c r="M111" s="243">
        <f>IF(OR(M8="NA",Table2!M8="NA",Table3!M9="NA"),"NA",-SUM(M8)+SUM(Table2!M8)+SUM(Table3!M9))</f>
        <v>265953.97044226015</v>
      </c>
      <c r="N111" s="243">
        <f>IF(OR(N8="NA",Table2!N8="NA",Table3!N9="NA"),"NA",-SUM(N8)+SUM(Table2!N8)+SUM(Table3!N9))</f>
        <v>227971.338166</v>
      </c>
    </row>
    <row r="112" spans="2:17" x14ac:dyDescent="0.2">
      <c r="B112" s="217"/>
      <c r="C112" s="77" t="s">
        <v>3343</v>
      </c>
      <c r="D112" s="77"/>
      <c r="E112" s="245">
        <f>IF(OR(E8="NA",StatementI!D30="NA"),"NA",-SUM(E8)+SUM(StatementI!D30))</f>
        <v>223928.79378599999</v>
      </c>
      <c r="F112" s="245">
        <f>IF(OR(F8="NA",StatementI!E30="NA"),"NA",-SUM(F8)+SUM(StatementI!E30))</f>
        <v>4154.8208509999995</v>
      </c>
      <c r="G112" s="245">
        <f>IF(OR(G8="NA",StatementI!F30="NA"),"NA",-SUM(G8)+SUM(StatementI!F30))</f>
        <v>-3382.9422169999889</v>
      </c>
      <c r="H112" s="245">
        <f>IF(OR(H8="NA",StatementI!G30="NA"),"NA",-SUM(H8)+SUM(StatementI!G30))</f>
        <v>224700.67241999999</v>
      </c>
      <c r="I112" s="245">
        <f>IF(OR(I8="NA",StatementI!H30="NA"),"NA",-SUM(I8)+SUM(StatementI!H30))</f>
        <v>3270.6657459999997</v>
      </c>
      <c r="J112" s="245">
        <f>IF(OR(J8="NA",StatementI!I30="NA"),"NA",-SUM(J8)+SUM(StatementI!I30))</f>
        <v>28701.584195260133</v>
      </c>
      <c r="K112" s="245">
        <f>IF(OR(K8="NA",StatementI!J30="NA"),"NA",-SUM(K8)+SUM(StatementI!J30))</f>
        <v>68488.508537000002</v>
      </c>
      <c r="L112" s="245">
        <f>IF(OR(L8="NA",StatementI!K30="NA"),"NA",-SUM(L8)+SUM(StatementI!K30))</f>
        <v>-59207.460456000001</v>
      </c>
      <c r="M112" s="245">
        <f>IF(OR(M8="NA",StatementI!L30="NA"),"NA",-SUM(M8)+SUM(StatementI!L30))</f>
        <v>265953.97044226015</v>
      </c>
      <c r="N112" s="245">
        <f>IF(OR(N8="NA",StatementI!M30="NA"),"NA",-SUM(N8)+SUM(StatementI!M30))</f>
        <v>227971.338166</v>
      </c>
    </row>
    <row r="113" spans="2:4" x14ac:dyDescent="0.2">
      <c r="B113" s="190"/>
      <c r="C113" s="103"/>
      <c r="D113" s="103"/>
    </row>
    <row r="114" spans="2:4" x14ac:dyDescent="0.2">
      <c r="B114" s="190"/>
      <c r="C114" s="103"/>
      <c r="D114" s="103"/>
    </row>
    <row r="115" spans="2:4" x14ac:dyDescent="0.2">
      <c r="B115" s="190"/>
      <c r="C115" s="103"/>
      <c r="D115" s="103"/>
    </row>
    <row r="116" spans="2:4" x14ac:dyDescent="0.2">
      <c r="B116" s="190"/>
      <c r="C116" s="103"/>
      <c r="D116" s="103"/>
    </row>
    <row r="117" spans="2:4" x14ac:dyDescent="0.2">
      <c r="B117" s="190"/>
      <c r="C117" s="103"/>
      <c r="D117" s="103"/>
    </row>
    <row r="118" spans="2:4" x14ac:dyDescent="0.2">
      <c r="B118" s="190"/>
      <c r="C118" s="103"/>
      <c r="D118" s="103"/>
    </row>
    <row r="119" spans="2:4" x14ac:dyDescent="0.2">
      <c r="B119" s="190"/>
      <c r="C119" s="103"/>
      <c r="D119" s="103"/>
    </row>
    <row r="120" spans="2:4" x14ac:dyDescent="0.2">
      <c r="B120" s="190"/>
      <c r="C120" s="103"/>
      <c r="D120" s="103"/>
    </row>
    <row r="121" spans="2:4" x14ac:dyDescent="0.2">
      <c r="B121" s="190"/>
      <c r="C121" s="103"/>
      <c r="D121" s="103"/>
    </row>
    <row r="122" spans="2:4" x14ac:dyDescent="0.2">
      <c r="B122" s="190"/>
      <c r="C122" s="103"/>
      <c r="D122" s="103"/>
    </row>
    <row r="123" spans="2:4" x14ac:dyDescent="0.2">
      <c r="B123" s="190"/>
      <c r="C123" s="103"/>
      <c r="D123" s="103"/>
    </row>
    <row r="124" spans="2:4" x14ac:dyDescent="0.2">
      <c r="B124" s="190"/>
      <c r="C124" s="103"/>
      <c r="D124" s="103"/>
    </row>
    <row r="125" spans="2:4" x14ac:dyDescent="0.2">
      <c r="B125" s="190"/>
      <c r="C125" s="103"/>
      <c r="D125" s="103"/>
    </row>
    <row r="126" spans="2:4" x14ac:dyDescent="0.2">
      <c r="B126" s="190"/>
      <c r="C126" s="103"/>
      <c r="D126" s="103"/>
    </row>
    <row r="127" spans="2:4" x14ac:dyDescent="0.2">
      <c r="B127" s="190"/>
      <c r="C127" s="103"/>
      <c r="D127" s="103"/>
    </row>
    <row r="128" spans="2:4" x14ac:dyDescent="0.2">
      <c r="B128" s="190"/>
      <c r="C128" s="103"/>
      <c r="D128" s="103"/>
    </row>
    <row r="129" spans="2:4" x14ac:dyDescent="0.2">
      <c r="B129" s="190"/>
      <c r="C129" s="103"/>
      <c r="D129" s="103"/>
    </row>
    <row r="130" spans="2:4" x14ac:dyDescent="0.2">
      <c r="B130" s="190"/>
      <c r="C130" s="103"/>
      <c r="D130" s="103"/>
    </row>
    <row r="131" spans="2:4" x14ac:dyDescent="0.2">
      <c r="B131" s="190"/>
      <c r="C131" s="103"/>
      <c r="D131" s="103"/>
    </row>
    <row r="132" spans="2:4" x14ac:dyDescent="0.2">
      <c r="B132" s="190"/>
      <c r="C132" s="103"/>
      <c r="D132" s="103"/>
    </row>
    <row r="133" spans="2:4" x14ac:dyDescent="0.2">
      <c r="B133" s="190"/>
      <c r="C133" s="103"/>
      <c r="D133" s="103"/>
    </row>
    <row r="134" spans="2:4" x14ac:dyDescent="0.2">
      <c r="B134" s="190"/>
      <c r="C134" s="103"/>
      <c r="D134" s="103"/>
    </row>
    <row r="135" spans="2:4" x14ac:dyDescent="0.2">
      <c r="B135" s="190"/>
      <c r="C135" s="103"/>
      <c r="D135" s="103"/>
    </row>
    <row r="136" spans="2:4" x14ac:dyDescent="0.2">
      <c r="B136" s="190"/>
      <c r="C136" s="103"/>
      <c r="D136" s="103"/>
    </row>
    <row r="137" spans="2:4" x14ac:dyDescent="0.2">
      <c r="B137" s="190"/>
      <c r="C137" s="103"/>
      <c r="D137" s="103"/>
    </row>
    <row r="138" spans="2:4" x14ac:dyDescent="0.2">
      <c r="B138" s="190"/>
      <c r="C138" s="103"/>
      <c r="D138" s="103"/>
    </row>
    <row r="139" spans="2:4" x14ac:dyDescent="0.2">
      <c r="B139" s="190"/>
      <c r="C139" s="103"/>
      <c r="D139" s="103"/>
    </row>
    <row r="140" spans="2:4" x14ac:dyDescent="0.2">
      <c r="B140" s="190"/>
      <c r="C140" s="103"/>
      <c r="D140" s="103"/>
    </row>
    <row r="141" spans="2:4" x14ac:dyDescent="0.2">
      <c r="B141" s="190"/>
      <c r="C141" s="103"/>
      <c r="D141" s="103"/>
    </row>
    <row r="142" spans="2:4" x14ac:dyDescent="0.2">
      <c r="B142" s="190"/>
      <c r="C142" s="103"/>
      <c r="D142" s="103"/>
    </row>
    <row r="143" spans="2:4" x14ac:dyDescent="0.2">
      <c r="B143" s="190"/>
      <c r="C143" s="103"/>
      <c r="D143" s="103"/>
    </row>
    <row r="144" spans="2:4" x14ac:dyDescent="0.2">
      <c r="B144" s="190"/>
      <c r="C144" s="103"/>
      <c r="D144" s="103"/>
    </row>
    <row r="145" spans="2:4" x14ac:dyDescent="0.2">
      <c r="B145" s="190"/>
      <c r="C145" s="103"/>
      <c r="D145" s="103"/>
    </row>
    <row r="146" spans="2:4" x14ac:dyDescent="0.2">
      <c r="B146" s="190"/>
      <c r="C146" s="103"/>
      <c r="D146" s="103"/>
    </row>
    <row r="147" spans="2:4" x14ac:dyDescent="0.2">
      <c r="B147" s="190"/>
      <c r="C147" s="103"/>
      <c r="D147" s="103"/>
    </row>
    <row r="148" spans="2:4" x14ac:dyDescent="0.2">
      <c r="B148" s="190"/>
      <c r="C148" s="103"/>
      <c r="D148" s="103"/>
    </row>
    <row r="149" spans="2:4" x14ac:dyDescent="0.2">
      <c r="B149" s="190"/>
      <c r="C149" s="103"/>
      <c r="D149" s="103"/>
    </row>
    <row r="150" spans="2:4" x14ac:dyDescent="0.2">
      <c r="B150" s="190"/>
      <c r="C150" s="103"/>
      <c r="D150" s="103"/>
    </row>
    <row r="151" spans="2:4" x14ac:dyDescent="0.2">
      <c r="B151" s="190"/>
      <c r="C151" s="103"/>
      <c r="D151" s="103"/>
    </row>
    <row r="152" spans="2:4" x14ac:dyDescent="0.2">
      <c r="B152" s="190"/>
      <c r="C152" s="103"/>
      <c r="D152" s="103"/>
    </row>
    <row r="153" spans="2:4" x14ac:dyDescent="0.2">
      <c r="B153" s="190"/>
      <c r="C153" s="103"/>
      <c r="D153" s="103"/>
    </row>
    <row r="154" spans="2:4" x14ac:dyDescent="0.2">
      <c r="B154" s="190"/>
      <c r="C154" s="103"/>
      <c r="D154" s="103"/>
    </row>
    <row r="155" spans="2:4" x14ac:dyDescent="0.2">
      <c r="B155" s="190"/>
      <c r="C155" s="103"/>
      <c r="D155" s="103"/>
    </row>
    <row r="156" spans="2:4" x14ac:dyDescent="0.2">
      <c r="B156" s="190"/>
      <c r="C156" s="103"/>
      <c r="D156" s="103"/>
    </row>
    <row r="157" spans="2:4" x14ac:dyDescent="0.2">
      <c r="B157" s="190"/>
      <c r="C157" s="103"/>
      <c r="D157" s="103"/>
    </row>
    <row r="158" spans="2:4" x14ac:dyDescent="0.2">
      <c r="B158" s="190"/>
      <c r="C158" s="103"/>
      <c r="D158" s="103"/>
    </row>
    <row r="159" spans="2:4" x14ac:dyDescent="0.2">
      <c r="B159" s="190"/>
      <c r="C159" s="103"/>
      <c r="D159" s="103"/>
    </row>
    <row r="160" spans="2:4" x14ac:dyDescent="0.2">
      <c r="B160" s="190"/>
      <c r="C160" s="103"/>
      <c r="D160" s="103"/>
    </row>
    <row r="161" spans="2:4" x14ac:dyDescent="0.2">
      <c r="B161" s="190"/>
      <c r="C161" s="103"/>
      <c r="D161" s="103"/>
    </row>
    <row r="162" spans="2:4" x14ac:dyDescent="0.2">
      <c r="B162" s="190"/>
      <c r="C162" s="103"/>
      <c r="D162" s="103"/>
    </row>
    <row r="163" spans="2:4" x14ac:dyDescent="0.2">
      <c r="B163" s="190"/>
      <c r="C163" s="103"/>
      <c r="D163" s="103"/>
    </row>
    <row r="164" spans="2:4" x14ac:dyDescent="0.2">
      <c r="B164" s="190"/>
      <c r="C164" s="103"/>
      <c r="D164" s="103"/>
    </row>
    <row r="165" spans="2:4" x14ac:dyDescent="0.2">
      <c r="B165" s="190"/>
      <c r="C165" s="103"/>
      <c r="D165" s="103"/>
    </row>
    <row r="166" spans="2:4" x14ac:dyDescent="0.2">
      <c r="B166" s="190"/>
      <c r="C166" s="103"/>
      <c r="D166" s="103"/>
    </row>
  </sheetData>
  <sheetProtection password="EECE" sheet="1" objects="1" scenarios="1" formatCells="0" formatColumns="0" formatRows="0"/>
  <customSheetViews>
    <customSheetView guid="{C3088B2E-F853-4D7E-B687-C6500891DFCB}" scale="110" showPageBreaks="1" fitToPage="1" printArea="1">
      <pane xSplit="3" ySplit="6" topLeftCell="D7" activePane="bottomRight" state="frozen"/>
      <selection pane="bottomRight"/>
      <rowBreaks count="1" manualBreakCount="1">
        <brk id="53" max="12" man="1"/>
      </rowBreaks>
      <pageMargins left="0.47244094488188981" right="0.47244094488188981" top="0.59055118110236227" bottom="0.59055118110236227" header="0.39370078740157483" footer="0.39370078740157483"/>
      <pageSetup scale="81" fitToHeight="0" orientation="landscape" r:id="rId1"/>
      <headerFooter alignWithMargins="0">
        <oddFooter>&amp;L&amp;8&amp;D  &amp;T&amp;R&amp;8March 2014, Version 0.2</oddFooter>
      </headerFooter>
    </customSheetView>
    <customSheetView guid="{F866C9B2-56BF-4FE4-B270-CC8FE15A5892}" scale="110" showPageBreaks="1" fitToPage="1" printArea="1">
      <pane xSplit="2" ySplit="6" topLeftCell="D7" activePane="bottomRight" state="frozen"/>
      <selection pane="bottomRight"/>
      <rowBreaks count="1" manualBreakCount="1">
        <brk id="53" max="12" man="1"/>
      </rowBreaks>
      <pageMargins left="0.47244094488188981" right="0.47244094488188981" top="0.59055118110236227" bottom="0.59055118110236227" header="0.39370078740157483" footer="0.39370078740157483"/>
      <pageSetup scale="80" fitToHeight="0" orientation="landscape" r:id="rId2"/>
      <headerFooter alignWithMargins="0">
        <oddFooter>&amp;L&amp;8&amp;D  &amp;T&amp;R&amp;8March 2014, Version 0.2</oddFooter>
      </headerFooter>
    </customSheetView>
    <customSheetView guid="{D66484CB-9D53-43A1-A83D-11534BC40BF6}" scale="110" showPageBreaks="1" fitToPage="1" printArea="1">
      <pane xSplit="3" ySplit="6" topLeftCell="D7" activePane="bottomRight" state="frozen"/>
      <selection pane="bottomRight" activeCell="D7" sqref="D7"/>
      <rowBreaks count="1" manualBreakCount="1">
        <brk id="53" max="12" man="1"/>
      </rowBreaks>
      <pageMargins left="0.47244094488188981" right="0.47244094488188981" top="0.59055118110236227" bottom="0.59055118110236227" header="0.39370078740157483" footer="0.39370078740157483"/>
      <pageSetup scale="80" fitToHeight="0" orientation="landscape" r:id="rId3"/>
      <headerFooter alignWithMargins="0">
        <oddFooter>&amp;L&amp;8&amp;D  &amp;T&amp;R&amp;8March 2014, Version 0.2</oddFooter>
      </headerFooter>
    </customSheetView>
  </customSheetViews>
  <mergeCells count="12">
    <mergeCell ref="G1:M1"/>
    <mergeCell ref="F2:N2"/>
    <mergeCell ref="P4:Q4"/>
    <mergeCell ref="K4:K5"/>
    <mergeCell ref="L4:L5"/>
    <mergeCell ref="M4:M5"/>
    <mergeCell ref="J4:J5"/>
    <mergeCell ref="B4:C5"/>
    <mergeCell ref="G3:H3"/>
    <mergeCell ref="E4:H4"/>
    <mergeCell ref="I4:I5"/>
    <mergeCell ref="N3:N5"/>
  </mergeCells>
  <conditionalFormatting sqref="P8:Q87 E108:N112 E91:N103">
    <cfRule type="cellIs" dxfId="70" priority="21" operator="lessThan">
      <formula>-0.1</formula>
    </cfRule>
    <cfRule type="cellIs" dxfId="69" priority="22" operator="greaterThan">
      <formula>0.1</formula>
    </cfRule>
  </conditionalFormatting>
  <conditionalFormatting sqref="E104:N105 E107:N107 E106:L106 N106">
    <cfRule type="containsText" dxfId="68" priority="11" operator="containsText" text="NV">
      <formula>NOT(ISERROR(SEARCH("NV",E104)))</formula>
    </cfRule>
    <cfRule type="containsText" dxfId="67" priority="15" operator="containsText" text="Vérifier">
      <formula>NOT(ISERROR(SEARCH("Vérifier",E104)))</formula>
    </cfRule>
  </conditionalFormatting>
  <conditionalFormatting sqref="P8:Q87">
    <cfRule type="containsText" dxfId="66" priority="9" operator="containsText" text="NA">
      <formula>NOT(ISERROR(SEARCH("NA",P8)))</formula>
    </cfRule>
    <cfRule type="cellIs" dxfId="65" priority="10" operator="between">
      <formula>-0.1</formula>
      <formula>0.1</formula>
    </cfRule>
  </conditionalFormatting>
  <conditionalFormatting sqref="E92:N92 E94:N103 E111:N112 E109:N109">
    <cfRule type="containsText" dxfId="64" priority="7" operator="containsText" text="NA">
      <formula>NOT(ISERROR(SEARCH("NA",E92)))</formula>
    </cfRule>
    <cfRule type="cellIs" dxfId="63" priority="8" operator="between">
      <formula>-0.1</formula>
      <formula>0.1</formula>
    </cfRule>
  </conditionalFormatting>
  <conditionalFormatting sqref="M106">
    <cfRule type="containsText" dxfId="62" priority="1" operator="containsText" text="verificar">
      <formula>NOT(ISERROR(SEARCH("verificar",M106)))</formula>
    </cfRule>
    <cfRule type="containsText" dxfId="61" priority="2" operator="containsText" text="si">
      <formula>NOT(ISERROR(SEARCH("si",M106)))</formula>
    </cfRule>
    <cfRule type="containsText" dxfId="60" priority="3" operator="containsText" text="NV">
      <formula>NOT(ISERROR(SEARCH("NV",M106)))</formula>
    </cfRule>
    <cfRule type="containsText" dxfId="59" priority="4" operator="containsText" text="check">
      <formula>NOT(ISERROR(SEARCH("check",M106)))</formula>
    </cfRule>
  </conditionalFormatting>
  <pageMargins left="0.47244094488188998" right="0.47244094488188998" top="0.59055118110236204" bottom="0.59055118110236204" header="0.39370078740157499" footer="0.39370078740157499"/>
  <pageSetup scale="80" fitToHeight="0" orientation="landscape" r:id="rId4"/>
  <headerFooter alignWithMargins="0">
    <oddFooter>&amp;L&amp;8&amp;D  &amp;T&amp;R&amp;8March 2014, Version 0.2</oddFooter>
  </headerFooter>
  <rowBreaks count="1" manualBreakCount="1">
    <brk id="54" min="1" max="13" man="1"/>
  </rowBreaks>
  <legacyDrawing r:id="rId5"/>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indexed="52"/>
    <pageSetUpPr fitToPage="1"/>
  </sheetPr>
  <dimension ref="A1:Q72"/>
  <sheetViews>
    <sheetView workbookViewId="0">
      <pane xSplit="4" ySplit="7" topLeftCell="E8" activePane="bottomRight" state="frozen"/>
      <selection activeCell="Q53" sqref="P8:Q53"/>
      <selection pane="topRight" activeCell="Q53" sqref="P8:Q53"/>
      <selection pane="bottomLeft" activeCell="Q53" sqref="P8:Q53"/>
      <selection pane="bottomRight" activeCell="E10" sqref="E10"/>
    </sheetView>
  </sheetViews>
  <sheetFormatPr baseColWidth="10" defaultColWidth="9.140625" defaultRowHeight="12.75" x14ac:dyDescent="0.2"/>
  <cols>
    <col min="1" max="1" width="12.85546875" style="164" hidden="1" customWidth="1"/>
    <col min="2" max="2" width="7.28515625" style="221" customWidth="1"/>
    <col min="3" max="3" width="50.7109375" style="164" customWidth="1"/>
    <col min="4" max="4" width="0.85546875" style="164" customWidth="1"/>
    <col min="5" max="14" width="10" style="164" customWidth="1"/>
    <col min="15" max="15" width="3.28515625" style="164" customWidth="1"/>
    <col min="16" max="17" width="11.7109375" style="164" customWidth="1"/>
    <col min="18" max="18" width="9.140625" style="164" customWidth="1"/>
    <col min="19" max="16384" width="9.140625" style="164"/>
  </cols>
  <sheetData>
    <row r="1" spans="1:17" ht="14.25" x14ac:dyDescent="0.25">
      <c r="B1" s="513" t="str">
        <f>+Coverpage!A1</f>
        <v>GFSM2014_V1.5</v>
      </c>
      <c r="C1" s="514"/>
      <c r="D1" s="515"/>
      <c r="E1" s="516"/>
      <c r="F1" s="517"/>
      <c r="G1" s="771" t="str">
        <f>Reporting_Country_Name</f>
        <v>Colombia</v>
      </c>
      <c r="H1" s="771"/>
      <c r="I1" s="771"/>
      <c r="J1" s="771"/>
      <c r="K1" s="771"/>
      <c r="L1" s="771"/>
      <c r="M1" s="771"/>
      <c r="N1" s="661" t="str">
        <f>Reporting_Country_Code</f>
        <v>233</v>
      </c>
      <c r="O1" s="519"/>
      <c r="P1" s="653" t="s">
        <v>2731</v>
      </c>
      <c r="Q1" s="654"/>
    </row>
    <row r="2" spans="1:17" ht="14.25" x14ac:dyDescent="0.25">
      <c r="B2" s="513" t="s">
        <v>3345</v>
      </c>
      <c r="C2" s="582"/>
      <c r="D2" s="583"/>
      <c r="E2" s="523"/>
      <c r="F2" s="780" t="str">
        <f>"En "&amp;Coverpage!$I$15&amp;" de "&amp;Coverpage!$I$14&amp;" / El año fiscal termina en "&amp;Coverpage!$I$11&amp;" "&amp;Coverpage!$I$12</f>
        <v xml:space="preserve">En Billion de Colombian Pesos (COP) / El año fiscal termina en  </v>
      </c>
      <c r="G2" s="781"/>
      <c r="H2" s="781"/>
      <c r="I2" s="781"/>
      <c r="J2" s="781"/>
      <c r="K2" s="781"/>
      <c r="L2" s="781"/>
      <c r="M2" s="781"/>
      <c r="N2" s="781"/>
      <c r="O2" s="519"/>
      <c r="P2" s="655" t="s">
        <v>2732</v>
      </c>
      <c r="Q2" s="656"/>
    </row>
    <row r="3" spans="1:17" ht="12" customHeight="1" x14ac:dyDescent="0.25">
      <c r="B3" s="524"/>
      <c r="C3" s="525"/>
      <c r="D3" s="526"/>
      <c r="E3" s="527"/>
      <c r="F3" s="528"/>
      <c r="G3" s="784" t="s">
        <v>2726</v>
      </c>
      <c r="H3" s="784"/>
      <c r="I3" s="529" t="str">
        <f>Reporting_Period_Code</f>
        <v>2016</v>
      </c>
      <c r="J3" s="529"/>
      <c r="K3" s="528"/>
      <c r="L3" s="528"/>
      <c r="M3" s="530"/>
      <c r="N3" s="790" t="s">
        <v>2723</v>
      </c>
      <c r="O3" s="531"/>
      <c r="P3" s="168"/>
      <c r="Q3" s="168"/>
    </row>
    <row r="4" spans="1:17" ht="12" customHeight="1" x14ac:dyDescent="0.2">
      <c r="B4" s="794" t="s">
        <v>3344</v>
      </c>
      <c r="C4" s="795"/>
      <c r="D4" s="532"/>
      <c r="E4" s="787" t="s">
        <v>2727</v>
      </c>
      <c r="F4" s="788"/>
      <c r="G4" s="788"/>
      <c r="H4" s="789"/>
      <c r="I4" s="790" t="s">
        <v>2719</v>
      </c>
      <c r="J4" s="790" t="s">
        <v>2720</v>
      </c>
      <c r="K4" s="792" t="s">
        <v>2721</v>
      </c>
      <c r="L4" s="790" t="s">
        <v>2728</v>
      </c>
      <c r="M4" s="793" t="s">
        <v>2722</v>
      </c>
      <c r="N4" s="791"/>
      <c r="O4" s="531"/>
      <c r="P4" s="778" t="s">
        <v>2733</v>
      </c>
      <c r="Q4" s="779"/>
    </row>
    <row r="5" spans="1:17" ht="30" customHeight="1" x14ac:dyDescent="0.2">
      <c r="B5" s="794"/>
      <c r="C5" s="795"/>
      <c r="D5" s="532"/>
      <c r="E5" s="711" t="s">
        <v>2729</v>
      </c>
      <c r="F5" s="712" t="s">
        <v>2813</v>
      </c>
      <c r="G5" s="712" t="s">
        <v>2728</v>
      </c>
      <c r="H5" s="713" t="s">
        <v>2718</v>
      </c>
      <c r="I5" s="791"/>
      <c r="J5" s="791"/>
      <c r="K5" s="792"/>
      <c r="L5" s="791"/>
      <c r="M5" s="793"/>
      <c r="N5" s="791"/>
      <c r="O5" s="531"/>
      <c r="P5" s="668" t="s">
        <v>2734</v>
      </c>
      <c r="Q5" s="669" t="s">
        <v>2735</v>
      </c>
    </row>
    <row r="6" spans="1:17" ht="30" hidden="1" customHeight="1" x14ac:dyDescent="0.2">
      <c r="B6" s="618"/>
      <c r="C6" s="619"/>
      <c r="D6" s="532"/>
      <c r="E6" s="533" t="s">
        <v>1562</v>
      </c>
      <c r="F6" s="534" t="s">
        <v>1563</v>
      </c>
      <c r="G6" s="534" t="s">
        <v>1575</v>
      </c>
      <c r="H6" s="535" t="s">
        <v>634</v>
      </c>
      <c r="I6" s="535" t="s">
        <v>1564</v>
      </c>
      <c r="J6" s="534" t="s">
        <v>1574</v>
      </c>
      <c r="K6" s="535" t="s">
        <v>637</v>
      </c>
      <c r="L6" s="534" t="s">
        <v>1576</v>
      </c>
      <c r="M6" s="574" t="s">
        <v>1565</v>
      </c>
      <c r="N6" s="574" t="s">
        <v>1577</v>
      </c>
      <c r="O6" s="531"/>
      <c r="P6" s="169"/>
      <c r="Q6" s="170"/>
    </row>
    <row r="7" spans="1:17" ht="10.5" customHeight="1" x14ac:dyDescent="0.2">
      <c r="A7" s="143"/>
      <c r="B7" s="536"/>
      <c r="C7" s="537"/>
      <c r="D7" s="537"/>
      <c r="E7" s="538" t="s">
        <v>632</v>
      </c>
      <c r="F7" s="539" t="s">
        <v>633</v>
      </c>
      <c r="G7" s="540" t="s">
        <v>155</v>
      </c>
      <c r="H7" s="539" t="s">
        <v>634</v>
      </c>
      <c r="I7" s="540" t="s">
        <v>635</v>
      </c>
      <c r="J7" s="539" t="s">
        <v>636</v>
      </c>
      <c r="K7" s="540" t="s">
        <v>637</v>
      </c>
      <c r="L7" s="539" t="s">
        <v>156</v>
      </c>
      <c r="M7" s="541" t="s">
        <v>638</v>
      </c>
      <c r="N7" s="541" t="s">
        <v>639</v>
      </c>
      <c r="O7" s="531"/>
      <c r="P7" s="171" t="s">
        <v>640</v>
      </c>
      <c r="Q7" s="172" t="s">
        <v>641</v>
      </c>
    </row>
    <row r="8" spans="1:17" ht="15" customHeight="1" x14ac:dyDescent="0.2">
      <c r="A8" s="143" t="s">
        <v>1686</v>
      </c>
      <c r="B8" s="594" t="s">
        <v>1295</v>
      </c>
      <c r="C8" s="595" t="s">
        <v>3346</v>
      </c>
      <c r="D8" s="640" t="s">
        <v>48</v>
      </c>
      <c r="E8" s="752">
        <f>+IF(ISBLANK(Table3!E22),"",Table3!E22)</f>
        <v>40146.564456074004</v>
      </c>
      <c r="F8" s="752">
        <f>+IF(ISBLANK(Table3!F22),"",Table3!F22)</f>
        <v>290.27115099999992</v>
      </c>
      <c r="G8" s="752">
        <f>+IF(ISBLANK(Table3!G22),"",Table3!G22)</f>
        <v>-1913.3820000000001</v>
      </c>
      <c r="H8" s="752">
        <f>+IF(ISBLANK(Table3!H22),"",Table3!H22)</f>
        <v>38523.453607074</v>
      </c>
      <c r="I8" s="752">
        <f>+IF(ISBLANK(Table3!I22),"",Table3!I22)</f>
        <v>158.349377</v>
      </c>
      <c r="J8" s="752">
        <f>+IF(ISBLANK(Table3!J22),"",Table3!J22)</f>
        <v>3765.364959172</v>
      </c>
      <c r="K8" s="752">
        <f>+IF(ISBLANK(Table3!K22),"",Table3!K22)</f>
        <v>10251.060048019999</v>
      </c>
      <c r="L8" s="752">
        <f>+IF(ISBLANK(Table3!L22),"",Table3!L22)</f>
        <v>-844.96100000000001</v>
      </c>
      <c r="M8" s="752">
        <f>+IF(ISBLANK(Table3!M22),"",Table3!M22)</f>
        <v>51853.266991265999</v>
      </c>
      <c r="N8" s="752">
        <f>+IF(ISBLANK(Table3!N22),"",Table3!N22)</f>
        <v>38681.802984073998</v>
      </c>
      <c r="O8" s="651"/>
      <c r="P8" s="292">
        <f t="shared" ref="P8:P45" si="0">IF(OR(H8="NA",E8="NA",F8="NA",G8="NA"),"NA",SUM(H8)-SUM(E8:G8))</f>
        <v>-7.2759576141834259E-12</v>
      </c>
      <c r="Q8" s="293">
        <f t="shared" ref="Q8:Q45" si="1">IF(OR(M8="NA",H8="NA",I8="NA",J8="NA",K8="NA",L8="NA"),"NA",SUM(M8)-SUM(H8:L8))</f>
        <v>0</v>
      </c>
    </row>
    <row r="9" spans="1:17" ht="15" customHeight="1" x14ac:dyDescent="0.25">
      <c r="A9" s="143" t="s">
        <v>1695</v>
      </c>
      <c r="B9" s="547" t="s">
        <v>1296</v>
      </c>
      <c r="C9" s="601" t="s">
        <v>3347</v>
      </c>
      <c r="D9" s="611" t="s">
        <v>48</v>
      </c>
      <c r="E9" s="498">
        <f>+IF(ISBLANK(Table3!E31),"",Table3!E31)</f>
        <v>40259.537151074001</v>
      </c>
      <c r="F9" s="498">
        <f>+IF(ISBLANK(Table3!F31),"",Table3!F31)</f>
        <v>272.77400299999994</v>
      </c>
      <c r="G9" s="498">
        <f>+IF(ISBLANK(Table3!G31),"",Table3!G31)</f>
        <v>-1913.3820000000001</v>
      </c>
      <c r="H9" s="498">
        <f>+IF(ISBLANK(Table3!H31),"",Table3!H31)</f>
        <v>38618.929154073994</v>
      </c>
      <c r="I9" s="498">
        <f>+IF(ISBLANK(Table3!I31),"",Table3!I31)</f>
        <v>158.349377</v>
      </c>
      <c r="J9" s="498">
        <f>+IF(ISBLANK(Table3!J31),"",Table3!J31)</f>
        <v>3822.8358121719998</v>
      </c>
      <c r="K9" s="498">
        <f>+IF(ISBLANK(Table3!K31),"",Table3!K31)</f>
        <v>10260.102753020001</v>
      </c>
      <c r="L9" s="498">
        <f>+IF(ISBLANK(Table3!L31),"",Table3!L31)</f>
        <v>-844.96100000000001</v>
      </c>
      <c r="M9" s="498">
        <f>+IF(ISBLANK(Table3!M31),"",Table3!M31)</f>
        <v>52015.256096265999</v>
      </c>
      <c r="N9" s="498">
        <f>+IF(ISBLANK(Table3!N31),"",Table3!N31)</f>
        <v>38777.278531074</v>
      </c>
      <c r="O9" s="546"/>
      <c r="P9" s="178">
        <f t="shared" si="0"/>
        <v>-7.2759576141834259E-12</v>
      </c>
      <c r="Q9" s="179">
        <f t="shared" si="1"/>
        <v>7.2759576141834259E-12</v>
      </c>
    </row>
    <row r="10" spans="1:17" ht="10.35" customHeight="1" x14ac:dyDescent="0.25">
      <c r="A10" s="143" t="s">
        <v>2249</v>
      </c>
      <c r="B10" s="549" t="s">
        <v>189</v>
      </c>
      <c r="C10" s="602" t="s">
        <v>3348</v>
      </c>
      <c r="D10" s="611" t="s">
        <v>48</v>
      </c>
      <c r="E10" s="89"/>
      <c r="F10" s="89"/>
      <c r="G10" s="498">
        <f>+IF(ISBLANK(Table3!G31),"",Table3!G31)</f>
        <v>-1913.3820000000001</v>
      </c>
      <c r="H10" s="89">
        <f t="shared" ref="H10:H16" si="2">IF(OR(E10="NA",F10="NA",G10="NA"),"NA",IF(AND(E10="",F10="",G10=""),"",SUM(E10:G10)))</f>
        <v>-1913.3820000000001</v>
      </c>
      <c r="I10" s="89"/>
      <c r="J10" s="89"/>
      <c r="K10" s="89"/>
      <c r="L10" s="498">
        <f>+IF(ISBLANK(Table3!L31),"",Table3!L31)</f>
        <v>-844.96100000000001</v>
      </c>
      <c r="M10" s="89">
        <f t="shared" ref="M10:M16" si="3">IF(OR(H10="NA",I10="NA",J10="NA",K10="NA",L10="NA"),"NA",IF(AND(H10="",I10="",J10="",K10="",L10=""),"",SUM(H10:L10)))</f>
        <v>-2758.3429999999998</v>
      </c>
      <c r="N10" s="89"/>
      <c r="O10" s="546"/>
      <c r="P10" s="178">
        <f t="shared" si="0"/>
        <v>0</v>
      </c>
      <c r="Q10" s="179">
        <f t="shared" si="1"/>
        <v>0</v>
      </c>
    </row>
    <row r="11" spans="1:17" s="271" customFormat="1" ht="10.35" hidden="1" customHeight="1" x14ac:dyDescent="0.25">
      <c r="A11" s="139" t="s">
        <v>2250</v>
      </c>
      <c r="B11" s="549" t="s">
        <v>1297</v>
      </c>
      <c r="C11" s="603" t="s">
        <v>3349</v>
      </c>
      <c r="D11" s="611" t="s">
        <v>48</v>
      </c>
      <c r="E11" s="424" t="s">
        <v>2622</v>
      </c>
      <c r="F11" s="424" t="s">
        <v>2622</v>
      </c>
      <c r="G11" s="424" t="s">
        <v>2622</v>
      </c>
      <c r="H11" s="89" t="str">
        <f t="shared" si="2"/>
        <v>NA</v>
      </c>
      <c r="I11" s="424" t="s">
        <v>2622</v>
      </c>
      <c r="J11" s="424" t="s">
        <v>2622</v>
      </c>
      <c r="K11" s="424" t="s">
        <v>2622</v>
      </c>
      <c r="L11" s="424" t="s">
        <v>2622</v>
      </c>
      <c r="M11" s="89" t="str">
        <f t="shared" si="3"/>
        <v>NA</v>
      </c>
      <c r="N11" s="424" t="s">
        <v>2622</v>
      </c>
      <c r="O11" s="546"/>
      <c r="P11" s="376" t="str">
        <f t="shared" si="0"/>
        <v>NA</v>
      </c>
      <c r="Q11" s="377" t="str">
        <f t="shared" si="1"/>
        <v>NA</v>
      </c>
    </row>
    <row r="12" spans="1:17" s="271" customFormat="1" ht="10.35" hidden="1" customHeight="1" x14ac:dyDescent="0.25">
      <c r="A12" s="139" t="s">
        <v>2251</v>
      </c>
      <c r="B12" s="549" t="s">
        <v>1298</v>
      </c>
      <c r="C12" s="650" t="s">
        <v>3350</v>
      </c>
      <c r="D12" s="611" t="s">
        <v>48</v>
      </c>
      <c r="E12" s="424" t="s">
        <v>2622</v>
      </c>
      <c r="F12" s="424" t="s">
        <v>2622</v>
      </c>
      <c r="G12" s="424" t="s">
        <v>2622</v>
      </c>
      <c r="H12" s="89" t="str">
        <f t="shared" si="2"/>
        <v>NA</v>
      </c>
      <c r="I12" s="424" t="s">
        <v>2622</v>
      </c>
      <c r="J12" s="424" t="s">
        <v>2622</v>
      </c>
      <c r="K12" s="424" t="s">
        <v>2622</v>
      </c>
      <c r="L12" s="424" t="s">
        <v>2622</v>
      </c>
      <c r="M12" s="89" t="str">
        <f t="shared" si="3"/>
        <v>NA</v>
      </c>
      <c r="N12" s="424" t="s">
        <v>2622</v>
      </c>
      <c r="O12" s="546"/>
      <c r="P12" s="376" t="str">
        <f t="shared" si="0"/>
        <v>NA</v>
      </c>
      <c r="Q12" s="377" t="str">
        <f t="shared" si="1"/>
        <v>NA</v>
      </c>
    </row>
    <row r="13" spans="1:17" s="271" customFormat="1" ht="10.35" hidden="1" customHeight="1" x14ac:dyDescent="0.25">
      <c r="A13" s="139" t="s">
        <v>2252</v>
      </c>
      <c r="B13" s="549" t="s">
        <v>1299</v>
      </c>
      <c r="C13" s="650" t="s">
        <v>3351</v>
      </c>
      <c r="D13" s="611" t="s">
        <v>48</v>
      </c>
      <c r="E13" s="424" t="s">
        <v>2622</v>
      </c>
      <c r="F13" s="424" t="s">
        <v>2622</v>
      </c>
      <c r="G13" s="424" t="s">
        <v>2622</v>
      </c>
      <c r="H13" s="89" t="str">
        <f t="shared" si="2"/>
        <v>NA</v>
      </c>
      <c r="I13" s="424" t="s">
        <v>2622</v>
      </c>
      <c r="J13" s="424" t="s">
        <v>2622</v>
      </c>
      <c r="K13" s="424" t="s">
        <v>2622</v>
      </c>
      <c r="L13" s="424" t="s">
        <v>2622</v>
      </c>
      <c r="M13" s="89" t="str">
        <f t="shared" si="3"/>
        <v>NA</v>
      </c>
      <c r="N13" s="424" t="s">
        <v>2622</v>
      </c>
      <c r="O13" s="546"/>
      <c r="P13" s="376" t="str">
        <f t="shared" si="0"/>
        <v>NA</v>
      </c>
      <c r="Q13" s="377" t="str">
        <f t="shared" si="1"/>
        <v>NA</v>
      </c>
    </row>
    <row r="14" spans="1:17" s="271" customFormat="1" ht="10.35" hidden="1" customHeight="1" x14ac:dyDescent="0.25">
      <c r="A14" s="139" t="s">
        <v>2253</v>
      </c>
      <c r="B14" s="549" t="s">
        <v>1300</v>
      </c>
      <c r="C14" s="603" t="s">
        <v>3352</v>
      </c>
      <c r="D14" s="611" t="s">
        <v>48</v>
      </c>
      <c r="E14" s="424" t="s">
        <v>2622</v>
      </c>
      <c r="F14" s="424" t="s">
        <v>2622</v>
      </c>
      <c r="G14" s="424" t="s">
        <v>2622</v>
      </c>
      <c r="H14" s="89" t="str">
        <f t="shared" si="2"/>
        <v>NA</v>
      </c>
      <c r="I14" s="424" t="s">
        <v>2622</v>
      </c>
      <c r="J14" s="424" t="s">
        <v>2622</v>
      </c>
      <c r="K14" s="424" t="s">
        <v>2622</v>
      </c>
      <c r="L14" s="424" t="s">
        <v>2622</v>
      </c>
      <c r="M14" s="89" t="str">
        <f t="shared" si="3"/>
        <v>NA</v>
      </c>
      <c r="N14" s="424" t="s">
        <v>2622</v>
      </c>
      <c r="O14" s="546"/>
      <c r="P14" s="376" t="str">
        <f t="shared" si="0"/>
        <v>NA</v>
      </c>
      <c r="Q14" s="377" t="str">
        <f t="shared" si="1"/>
        <v>NA</v>
      </c>
    </row>
    <row r="15" spans="1:17" s="271" customFormat="1" ht="10.35" hidden="1" customHeight="1" x14ac:dyDescent="0.25">
      <c r="A15" s="139" t="s">
        <v>2254</v>
      </c>
      <c r="B15" s="549" t="s">
        <v>1301</v>
      </c>
      <c r="C15" s="603" t="s">
        <v>3353</v>
      </c>
      <c r="D15" s="611" t="s">
        <v>48</v>
      </c>
      <c r="E15" s="424" t="s">
        <v>2622</v>
      </c>
      <c r="F15" s="424" t="s">
        <v>2622</v>
      </c>
      <c r="G15" s="424" t="s">
        <v>2622</v>
      </c>
      <c r="H15" s="89" t="str">
        <f t="shared" si="2"/>
        <v>NA</v>
      </c>
      <c r="I15" s="424" t="s">
        <v>2622</v>
      </c>
      <c r="J15" s="424" t="s">
        <v>2622</v>
      </c>
      <c r="K15" s="424" t="s">
        <v>2622</v>
      </c>
      <c r="L15" s="424" t="s">
        <v>2622</v>
      </c>
      <c r="M15" s="89" t="str">
        <f t="shared" si="3"/>
        <v>NA</v>
      </c>
      <c r="N15" s="424" t="s">
        <v>2622</v>
      </c>
      <c r="O15" s="546"/>
      <c r="P15" s="376" t="str">
        <f t="shared" si="0"/>
        <v>NA</v>
      </c>
      <c r="Q15" s="377" t="str">
        <f t="shared" si="1"/>
        <v>NA</v>
      </c>
    </row>
    <row r="16" spans="1:17" s="271" customFormat="1" ht="10.35" hidden="1" customHeight="1" x14ac:dyDescent="0.25">
      <c r="A16" s="139" t="s">
        <v>2255</v>
      </c>
      <c r="B16" s="549" t="s">
        <v>1302</v>
      </c>
      <c r="C16" s="603" t="s">
        <v>3354</v>
      </c>
      <c r="D16" s="611" t="s">
        <v>48</v>
      </c>
      <c r="E16" s="424" t="s">
        <v>2622</v>
      </c>
      <c r="F16" s="424" t="s">
        <v>2622</v>
      </c>
      <c r="G16" s="424" t="s">
        <v>2622</v>
      </c>
      <c r="H16" s="89" t="str">
        <f t="shared" si="2"/>
        <v>NA</v>
      </c>
      <c r="I16" s="424" t="s">
        <v>2622</v>
      </c>
      <c r="J16" s="424" t="s">
        <v>2622</v>
      </c>
      <c r="K16" s="424" t="s">
        <v>2622</v>
      </c>
      <c r="L16" s="424" t="s">
        <v>2622</v>
      </c>
      <c r="M16" s="89" t="str">
        <f t="shared" si="3"/>
        <v>NA</v>
      </c>
      <c r="N16" s="424" t="s">
        <v>2622</v>
      </c>
      <c r="O16" s="546"/>
      <c r="P16" s="376" t="str">
        <f t="shared" si="0"/>
        <v>NA</v>
      </c>
      <c r="Q16" s="377" t="str">
        <f t="shared" si="1"/>
        <v>NA</v>
      </c>
    </row>
    <row r="17" spans="1:17" ht="10.35" customHeight="1" x14ac:dyDescent="0.25">
      <c r="A17" s="143" t="s">
        <v>2256</v>
      </c>
      <c r="B17" s="549" t="s">
        <v>1303</v>
      </c>
      <c r="C17" s="602" t="s">
        <v>3355</v>
      </c>
      <c r="D17" s="611" t="s">
        <v>48</v>
      </c>
      <c r="E17" s="89"/>
      <c r="F17" s="89"/>
      <c r="G17" s="473">
        <v>0</v>
      </c>
      <c r="H17" s="89" t="str">
        <f>IF(OR(E17="NA",F17="NA"),"NA",IF(AND(E17="",F17=""),"",SUM(E17:G17)))</f>
        <v/>
      </c>
      <c r="I17" s="89"/>
      <c r="J17" s="89"/>
      <c r="K17" s="89"/>
      <c r="L17" s="473">
        <v>0</v>
      </c>
      <c r="M17" s="89" t="str">
        <f>IF(OR(H17="NA",I17="NA",J17="NA",K17="NA"),"NA",IF(AND(H17="",I17="",J17="",K17=""),"",SUM(H17:L17)))</f>
        <v/>
      </c>
      <c r="N17" s="89"/>
      <c r="O17" s="546"/>
      <c r="P17" s="178">
        <f t="shared" si="0"/>
        <v>0</v>
      </c>
      <c r="Q17" s="179">
        <f t="shared" si="1"/>
        <v>0</v>
      </c>
    </row>
    <row r="18" spans="1:17" ht="10.35" customHeight="1" x14ac:dyDescent="0.25">
      <c r="A18" s="143" t="s">
        <v>2257</v>
      </c>
      <c r="B18" s="549" t="s">
        <v>1304</v>
      </c>
      <c r="C18" s="602" t="s">
        <v>3356</v>
      </c>
      <c r="D18" s="611" t="s">
        <v>48</v>
      </c>
      <c r="E18" s="89"/>
      <c r="F18" s="89"/>
      <c r="G18" s="473">
        <v>0</v>
      </c>
      <c r="H18" s="89" t="str">
        <f t="shared" ref="H18:H21" si="4">IF(OR(E18="NA",F18="NA"),"NA",IF(AND(E18="",F18=""),"",SUM(E18:G18)))</f>
        <v/>
      </c>
      <c r="I18" s="89"/>
      <c r="J18" s="89"/>
      <c r="K18" s="89"/>
      <c r="L18" s="473">
        <v>0</v>
      </c>
      <c r="M18" s="89" t="str">
        <f t="shared" ref="M18:M20" si="5">IF(OR(H18="NA",I18="NA",J18="NA",K18="NA"),"NA",IF(AND(H18="",I18="",J18="",K18=""),"",SUM(H18:L18)))</f>
        <v/>
      </c>
      <c r="N18" s="89"/>
      <c r="O18" s="546"/>
      <c r="P18" s="178">
        <f t="shared" si="0"/>
        <v>0</v>
      </c>
      <c r="Q18" s="179">
        <f t="shared" si="1"/>
        <v>0</v>
      </c>
    </row>
    <row r="19" spans="1:17" ht="10.35" customHeight="1" x14ac:dyDescent="0.25">
      <c r="A19" s="143" t="s">
        <v>2258</v>
      </c>
      <c r="B19" s="549" t="s">
        <v>1305</v>
      </c>
      <c r="C19" s="602" t="s">
        <v>3357</v>
      </c>
      <c r="D19" s="611" t="s">
        <v>48</v>
      </c>
      <c r="E19" s="89"/>
      <c r="F19" s="89"/>
      <c r="G19" s="473">
        <v>0</v>
      </c>
      <c r="H19" s="89" t="str">
        <f t="shared" si="4"/>
        <v/>
      </c>
      <c r="I19" s="89"/>
      <c r="J19" s="89"/>
      <c r="K19" s="89"/>
      <c r="L19" s="473">
        <v>0</v>
      </c>
      <c r="M19" s="89" t="str">
        <f t="shared" si="5"/>
        <v/>
      </c>
      <c r="N19" s="89"/>
      <c r="O19" s="546"/>
      <c r="P19" s="178">
        <f t="shared" si="0"/>
        <v>0</v>
      </c>
      <c r="Q19" s="179">
        <f t="shared" si="1"/>
        <v>0</v>
      </c>
    </row>
    <row r="20" spans="1:17" ht="10.35" customHeight="1" x14ac:dyDescent="0.25">
      <c r="A20" s="143" t="s">
        <v>2259</v>
      </c>
      <c r="B20" s="549" t="s">
        <v>1306</v>
      </c>
      <c r="C20" s="602" t="s">
        <v>3358</v>
      </c>
      <c r="D20" s="611" t="s">
        <v>48</v>
      </c>
      <c r="E20" s="89"/>
      <c r="F20" s="89"/>
      <c r="G20" s="473">
        <v>0</v>
      </c>
      <c r="H20" s="89" t="str">
        <f t="shared" si="4"/>
        <v/>
      </c>
      <c r="I20" s="89"/>
      <c r="J20" s="89"/>
      <c r="K20" s="89"/>
      <c r="L20" s="473">
        <v>0</v>
      </c>
      <c r="M20" s="89" t="str">
        <f t="shared" si="5"/>
        <v/>
      </c>
      <c r="N20" s="89"/>
      <c r="O20" s="546"/>
      <c r="P20" s="178">
        <f t="shared" si="0"/>
        <v>0</v>
      </c>
      <c r="Q20" s="179">
        <f t="shared" si="1"/>
        <v>0</v>
      </c>
    </row>
    <row r="21" spans="1:17" ht="10.35" customHeight="1" x14ac:dyDescent="0.25">
      <c r="A21" s="143" t="s">
        <v>2260</v>
      </c>
      <c r="B21" s="551" t="s">
        <v>1307</v>
      </c>
      <c r="C21" s="605" t="s">
        <v>3359</v>
      </c>
      <c r="D21" s="632" t="s">
        <v>48</v>
      </c>
      <c r="E21" s="148"/>
      <c r="F21" s="148"/>
      <c r="G21" s="473">
        <v>0</v>
      </c>
      <c r="H21" s="89" t="str">
        <f t="shared" si="4"/>
        <v/>
      </c>
      <c r="I21" s="148"/>
      <c r="J21" s="148"/>
      <c r="K21" s="148"/>
      <c r="L21" s="473">
        <v>0</v>
      </c>
      <c r="M21" s="89"/>
      <c r="N21" s="148"/>
      <c r="O21" s="546"/>
      <c r="P21" s="181">
        <f t="shared" si="0"/>
        <v>0</v>
      </c>
      <c r="Q21" s="182">
        <f t="shared" si="1"/>
        <v>0</v>
      </c>
    </row>
    <row r="22" spans="1:17" ht="15" customHeight="1" x14ac:dyDescent="0.25">
      <c r="A22" s="143" t="s">
        <v>1703</v>
      </c>
      <c r="B22" s="547" t="s">
        <v>1308</v>
      </c>
      <c r="C22" s="601" t="s">
        <v>3360</v>
      </c>
      <c r="D22" s="611" t="s">
        <v>48</v>
      </c>
      <c r="E22" s="498">
        <f>+IF(ISBLANK(Table3!E40),"",Table3!E40)</f>
        <v>-112.97269499999996</v>
      </c>
      <c r="F22" s="498">
        <f>+IF(ISBLANK(Table3!F40),"",Table3!F40)</f>
        <v>17.497147999999999</v>
      </c>
      <c r="G22" s="498">
        <f>+IF(ISBLANK(Table3!G40),"",Table3!G40)</f>
        <v>0</v>
      </c>
      <c r="H22" s="498">
        <f>+IF(ISBLANK(Table3!H40),"",Table3!H40)</f>
        <v>-95.475546999999978</v>
      </c>
      <c r="I22" s="498">
        <f>+IF(ISBLANK(Table3!I40),"",Table3!I40)</f>
        <v>0</v>
      </c>
      <c r="J22" s="498">
        <f>+IF(ISBLANK(Table3!J40),"",Table3!J40)</f>
        <v>-57.470853000000005</v>
      </c>
      <c r="K22" s="498">
        <f>+IF(ISBLANK(Table3!K40),"",Table3!K40)</f>
        <v>-9.0427050000000051</v>
      </c>
      <c r="L22" s="498">
        <f>+IF(ISBLANK(Table3!L40),"",Table3!L40)</f>
        <v>0</v>
      </c>
      <c r="M22" s="498">
        <f>+IF(ISBLANK(Table3!M40),"",Table3!M40)</f>
        <v>-161.98910500000005</v>
      </c>
      <c r="N22" s="498">
        <f>+IF(ISBLANK(Table3!N40),"",Table3!N40)</f>
        <v>-95.475546999999978</v>
      </c>
      <c r="O22" s="546"/>
      <c r="P22" s="178">
        <f t="shared" si="0"/>
        <v>-1.4210854715202004E-14</v>
      </c>
      <c r="Q22" s="179">
        <f t="shared" si="1"/>
        <v>-5.6843418860808015E-14</v>
      </c>
    </row>
    <row r="23" spans="1:17" ht="10.35" customHeight="1" x14ac:dyDescent="0.25">
      <c r="A23" s="143" t="s">
        <v>2261</v>
      </c>
      <c r="B23" s="549" t="s">
        <v>1309</v>
      </c>
      <c r="C23" s="602" t="s">
        <v>3348</v>
      </c>
      <c r="D23" s="611" t="s">
        <v>48</v>
      </c>
      <c r="E23" s="89"/>
      <c r="F23" s="89"/>
      <c r="G23" s="473">
        <v>0</v>
      </c>
      <c r="H23" s="89" t="str">
        <f t="shared" ref="H23:H26" si="6">IF(OR(E23="NA",F23="NA"),"NA",IF(AND(E23="",F23=""),"",SUM(E23:G23)))</f>
        <v/>
      </c>
      <c r="I23" s="89"/>
      <c r="J23" s="89"/>
      <c r="K23" s="93"/>
      <c r="L23" s="473">
        <v>0</v>
      </c>
      <c r="M23" s="89" t="str">
        <f t="shared" ref="M23:M26" si="7">IF(OR(H23="NA",I23="NA",J23="NA",K23="NA"),"NA",IF(AND(H23="",I23="",J23="",K23=""),"",SUM(H23:L23)))</f>
        <v/>
      </c>
      <c r="N23" s="89"/>
      <c r="O23" s="546"/>
      <c r="P23" s="178">
        <f t="shared" si="0"/>
        <v>0</v>
      </c>
      <c r="Q23" s="179">
        <f t="shared" si="1"/>
        <v>0</v>
      </c>
    </row>
    <row r="24" spans="1:17" ht="10.35" customHeight="1" x14ac:dyDescent="0.25">
      <c r="A24" s="143" t="s">
        <v>2262</v>
      </c>
      <c r="B24" s="549" t="s">
        <v>1310</v>
      </c>
      <c r="C24" s="602" t="s">
        <v>3361</v>
      </c>
      <c r="D24" s="611" t="s">
        <v>48</v>
      </c>
      <c r="E24" s="89"/>
      <c r="F24" s="89"/>
      <c r="G24" s="473">
        <v>0</v>
      </c>
      <c r="H24" s="89" t="str">
        <f t="shared" si="6"/>
        <v/>
      </c>
      <c r="I24" s="89"/>
      <c r="J24" s="89"/>
      <c r="K24" s="93"/>
      <c r="L24" s="473">
        <v>0</v>
      </c>
      <c r="M24" s="89" t="str">
        <f t="shared" si="7"/>
        <v/>
      </c>
      <c r="N24" s="89"/>
      <c r="O24" s="546"/>
      <c r="P24" s="178">
        <f t="shared" si="0"/>
        <v>0</v>
      </c>
      <c r="Q24" s="179">
        <f t="shared" si="1"/>
        <v>0</v>
      </c>
    </row>
    <row r="25" spans="1:17" ht="10.35" customHeight="1" x14ac:dyDescent="0.25">
      <c r="A25" s="143" t="s">
        <v>2263</v>
      </c>
      <c r="B25" s="549" t="s">
        <v>1311</v>
      </c>
      <c r="C25" s="602" t="s">
        <v>3362</v>
      </c>
      <c r="D25" s="611" t="s">
        <v>48</v>
      </c>
      <c r="E25" s="89"/>
      <c r="F25" s="89"/>
      <c r="G25" s="473">
        <v>0</v>
      </c>
      <c r="H25" s="89" t="str">
        <f t="shared" si="6"/>
        <v/>
      </c>
      <c r="I25" s="89"/>
      <c r="J25" s="89"/>
      <c r="K25" s="93"/>
      <c r="L25" s="473">
        <v>0</v>
      </c>
      <c r="M25" s="89" t="str">
        <f t="shared" si="7"/>
        <v/>
      </c>
      <c r="N25" s="89"/>
      <c r="O25" s="546"/>
      <c r="P25" s="178">
        <f t="shared" si="0"/>
        <v>0</v>
      </c>
      <c r="Q25" s="179">
        <f t="shared" si="1"/>
        <v>0</v>
      </c>
    </row>
    <row r="26" spans="1:17" ht="10.35" customHeight="1" x14ac:dyDescent="0.25">
      <c r="A26" s="143" t="s">
        <v>2264</v>
      </c>
      <c r="B26" s="536" t="s">
        <v>1312</v>
      </c>
      <c r="C26" s="608" t="s">
        <v>3363</v>
      </c>
      <c r="D26" s="623" t="s">
        <v>48</v>
      </c>
      <c r="E26" s="146"/>
      <c r="F26" s="146"/>
      <c r="G26" s="474">
        <v>0</v>
      </c>
      <c r="H26" s="146" t="str">
        <f t="shared" si="6"/>
        <v/>
      </c>
      <c r="I26" s="146"/>
      <c r="J26" s="146"/>
      <c r="K26" s="480"/>
      <c r="L26" s="474">
        <v>0</v>
      </c>
      <c r="M26" s="146" t="str">
        <f t="shared" si="7"/>
        <v/>
      </c>
      <c r="N26" s="146"/>
      <c r="O26" s="546"/>
      <c r="P26" s="188">
        <f t="shared" si="0"/>
        <v>0</v>
      </c>
      <c r="Q26" s="189">
        <f t="shared" si="1"/>
        <v>0</v>
      </c>
    </row>
    <row r="27" spans="1:17" ht="15" customHeight="1" x14ac:dyDescent="0.25">
      <c r="A27" s="143" t="s">
        <v>1712</v>
      </c>
      <c r="B27" s="599" t="s">
        <v>1313</v>
      </c>
      <c r="C27" s="600" t="s">
        <v>3364</v>
      </c>
      <c r="D27" s="632" t="s">
        <v>48</v>
      </c>
      <c r="E27" s="501">
        <f>+IF(ISBLANK(Table3!E49),"",Table3!E49)</f>
        <v>73288.710000000006</v>
      </c>
      <c r="F27" s="501">
        <f>+IF(ISBLANK(Table3!F49),"",Table3!F49)</f>
        <v>339.41199999999998</v>
      </c>
      <c r="G27" s="501">
        <f>+IF(ISBLANK(Table3!G49),"",Table3!G49)</f>
        <v>-215.79</v>
      </c>
      <c r="H27" s="501">
        <f>+IF(ISBLANK(Table3!H49),"",Table3!H49)</f>
        <v>73412.332000000009</v>
      </c>
      <c r="I27" s="501">
        <f>+IF(ISBLANK(Table3!I49),"",Table3!I49)</f>
        <v>1181.3718879999999</v>
      </c>
      <c r="J27" s="501">
        <f>+IF(ISBLANK(Table3!J49),"",Table3!J49)</f>
        <v>4782.9508100000003</v>
      </c>
      <c r="K27" s="501">
        <f>+IF(ISBLANK(Table3!K49),"",Table3!K49)</f>
        <v>1267.5000239999999</v>
      </c>
      <c r="L27" s="501">
        <f>+IF(ISBLANK(Table3!L49),"",Table3!L49)</f>
        <v>0</v>
      </c>
      <c r="M27" s="501">
        <f>+IF(ISBLANK(Table3!M49),"",Table3!M49)</f>
        <v>80644.154721999992</v>
      </c>
      <c r="N27" s="501">
        <f>+IF(ISBLANK(Table3!N49),"",Table3!N49)</f>
        <v>74593.703887999989</v>
      </c>
      <c r="O27" s="615"/>
      <c r="P27" s="181">
        <f t="shared" si="0"/>
        <v>0</v>
      </c>
      <c r="Q27" s="182">
        <f t="shared" si="1"/>
        <v>0</v>
      </c>
    </row>
    <row r="28" spans="1:17" ht="15" customHeight="1" x14ac:dyDescent="0.25">
      <c r="A28" s="143" t="s">
        <v>1721</v>
      </c>
      <c r="B28" s="547" t="s">
        <v>1314</v>
      </c>
      <c r="C28" s="601" t="s">
        <v>3365</v>
      </c>
      <c r="D28" s="611" t="s">
        <v>48</v>
      </c>
      <c r="E28" s="498">
        <f>+IF(ISBLANK(Table3!E63),"",Table3!E63)</f>
        <v>69100.629000000001</v>
      </c>
      <c r="F28" s="498">
        <f>+IF(ISBLANK(Table3!F63),"",Table3!F63)</f>
        <v>339.38799999999998</v>
      </c>
      <c r="G28" s="498">
        <f>+IF(ISBLANK(Table3!G63),"",Table3!G63)</f>
        <v>-215.79</v>
      </c>
      <c r="H28" s="498">
        <f>+IF(ISBLANK(Table3!H63),"",Table3!H63)</f>
        <v>69224.226999999999</v>
      </c>
      <c r="I28" s="498">
        <f>+IF(ISBLANK(Table3!I63),"",Table3!I63)</f>
        <v>1181.0898029999998</v>
      </c>
      <c r="J28" s="498">
        <f>+IF(ISBLANK(Table3!J63),"",Table3!J63)</f>
        <v>4783.2236810000004</v>
      </c>
      <c r="K28" s="498">
        <f>+IF(ISBLANK(Table3!K63),"",Table3!K63)</f>
        <v>1527.5019280000001</v>
      </c>
      <c r="L28" s="498">
        <f>+IF(ISBLANK(Table3!L63),"",Table3!L63)</f>
        <v>0</v>
      </c>
      <c r="M28" s="498">
        <f>+IF(ISBLANK(Table3!M63),"",Table3!M63)</f>
        <v>76716.042411999995</v>
      </c>
      <c r="N28" s="498">
        <f>+IF(ISBLANK(Table3!N63),"",Table3!N63)</f>
        <v>70405.316802999994</v>
      </c>
      <c r="O28" s="546"/>
      <c r="P28" s="178">
        <f t="shared" si="0"/>
        <v>-1.4551915228366852E-11</v>
      </c>
      <c r="Q28" s="179">
        <f t="shared" si="1"/>
        <v>0</v>
      </c>
    </row>
    <row r="29" spans="1:17" ht="10.35" customHeight="1" x14ac:dyDescent="0.25">
      <c r="A29" s="143" t="s">
        <v>2265</v>
      </c>
      <c r="B29" s="549" t="s">
        <v>190</v>
      </c>
      <c r="C29" s="602" t="s">
        <v>3348</v>
      </c>
      <c r="D29" s="611" t="s">
        <v>48</v>
      </c>
      <c r="E29" s="89"/>
      <c r="F29" s="89"/>
      <c r="G29" s="498">
        <f>+IF(ISBLANK(Table3!G63),"",Table3!G63)</f>
        <v>-215.79</v>
      </c>
      <c r="H29" s="89">
        <f t="shared" ref="H29:H35" si="8">IF(OR(E29="NA",F29="NA",G29="NA"),"NA",IF(AND(E29="",F29="",G29=""),"",SUM(E29:G29)))</f>
        <v>-215.79</v>
      </c>
      <c r="I29" s="89"/>
      <c r="J29" s="89"/>
      <c r="K29" s="89"/>
      <c r="L29" s="498">
        <f>+IF(ISBLANK(Table3!L63),"",Table3!L63)</f>
        <v>0</v>
      </c>
      <c r="M29" s="89">
        <f t="shared" ref="M29:M35" si="9">IF(OR(H29="NA",I29="NA",J29="NA",K29="NA",L29="NA"),"NA",IF(AND(H29="",I29="",J29="",K29="",L29=""),"",SUM(H29:L29)))</f>
        <v>-215.79</v>
      </c>
      <c r="N29" s="89"/>
      <c r="O29" s="546"/>
      <c r="P29" s="178">
        <f t="shared" si="0"/>
        <v>0</v>
      </c>
      <c r="Q29" s="179">
        <f t="shared" si="1"/>
        <v>0</v>
      </c>
    </row>
    <row r="30" spans="1:17" s="271" customFormat="1" ht="10.35" hidden="1" customHeight="1" x14ac:dyDescent="0.25">
      <c r="A30" s="139" t="s">
        <v>2266</v>
      </c>
      <c r="B30" s="549" t="s">
        <v>1315</v>
      </c>
      <c r="C30" s="603" t="s">
        <v>3349</v>
      </c>
      <c r="D30" s="611" t="s">
        <v>48</v>
      </c>
      <c r="E30" s="424" t="s">
        <v>2622</v>
      </c>
      <c r="F30" s="424" t="s">
        <v>2622</v>
      </c>
      <c r="G30" s="424" t="s">
        <v>2622</v>
      </c>
      <c r="H30" s="89" t="str">
        <f t="shared" si="8"/>
        <v>NA</v>
      </c>
      <c r="I30" s="424" t="s">
        <v>2622</v>
      </c>
      <c r="J30" s="424" t="s">
        <v>2622</v>
      </c>
      <c r="K30" s="424" t="s">
        <v>2622</v>
      </c>
      <c r="L30" s="424" t="s">
        <v>2622</v>
      </c>
      <c r="M30" s="89" t="str">
        <f t="shared" si="9"/>
        <v>NA</v>
      </c>
      <c r="N30" s="424" t="s">
        <v>2622</v>
      </c>
      <c r="O30" s="546"/>
      <c r="P30" s="376" t="str">
        <f t="shared" si="0"/>
        <v>NA</v>
      </c>
      <c r="Q30" s="377" t="str">
        <f t="shared" si="1"/>
        <v>NA</v>
      </c>
    </row>
    <row r="31" spans="1:17" s="271" customFormat="1" ht="10.35" hidden="1" customHeight="1" x14ac:dyDescent="0.25">
      <c r="A31" s="139" t="s">
        <v>2267</v>
      </c>
      <c r="B31" s="549" t="s">
        <v>1316</v>
      </c>
      <c r="C31" s="650" t="s">
        <v>3350</v>
      </c>
      <c r="D31" s="611" t="s">
        <v>48</v>
      </c>
      <c r="E31" s="424" t="s">
        <v>2622</v>
      </c>
      <c r="F31" s="424" t="s">
        <v>2622</v>
      </c>
      <c r="G31" s="424" t="s">
        <v>2622</v>
      </c>
      <c r="H31" s="89" t="str">
        <f t="shared" si="8"/>
        <v>NA</v>
      </c>
      <c r="I31" s="424" t="s">
        <v>2622</v>
      </c>
      <c r="J31" s="424" t="s">
        <v>2622</v>
      </c>
      <c r="K31" s="424" t="s">
        <v>2622</v>
      </c>
      <c r="L31" s="424" t="s">
        <v>2622</v>
      </c>
      <c r="M31" s="89" t="str">
        <f t="shared" si="9"/>
        <v>NA</v>
      </c>
      <c r="N31" s="424" t="s">
        <v>2622</v>
      </c>
      <c r="O31" s="546"/>
      <c r="P31" s="376" t="str">
        <f t="shared" si="0"/>
        <v>NA</v>
      </c>
      <c r="Q31" s="377" t="str">
        <f t="shared" si="1"/>
        <v>NA</v>
      </c>
    </row>
    <row r="32" spans="1:17" s="271" customFormat="1" ht="10.35" hidden="1" customHeight="1" x14ac:dyDescent="0.25">
      <c r="A32" s="139" t="s">
        <v>2268</v>
      </c>
      <c r="B32" s="549" t="s">
        <v>1317</v>
      </c>
      <c r="C32" s="650" t="s">
        <v>3351</v>
      </c>
      <c r="D32" s="611" t="s">
        <v>48</v>
      </c>
      <c r="E32" s="424" t="s">
        <v>2622</v>
      </c>
      <c r="F32" s="424" t="s">
        <v>2622</v>
      </c>
      <c r="G32" s="424" t="s">
        <v>2622</v>
      </c>
      <c r="H32" s="89" t="str">
        <f t="shared" si="8"/>
        <v>NA</v>
      </c>
      <c r="I32" s="424" t="s">
        <v>2622</v>
      </c>
      <c r="J32" s="424" t="s">
        <v>2622</v>
      </c>
      <c r="K32" s="424" t="s">
        <v>2622</v>
      </c>
      <c r="L32" s="424" t="s">
        <v>2622</v>
      </c>
      <c r="M32" s="89" t="str">
        <f t="shared" si="9"/>
        <v>NA</v>
      </c>
      <c r="N32" s="424" t="s">
        <v>2622</v>
      </c>
      <c r="O32" s="546"/>
      <c r="P32" s="376" t="str">
        <f t="shared" si="0"/>
        <v>NA</v>
      </c>
      <c r="Q32" s="377" t="str">
        <f t="shared" si="1"/>
        <v>NA</v>
      </c>
    </row>
    <row r="33" spans="1:17" s="271" customFormat="1" ht="10.35" hidden="1" customHeight="1" x14ac:dyDescent="0.25">
      <c r="A33" s="139" t="s">
        <v>2269</v>
      </c>
      <c r="B33" s="549" t="s">
        <v>1318</v>
      </c>
      <c r="C33" s="603" t="s">
        <v>3352</v>
      </c>
      <c r="D33" s="611" t="s">
        <v>48</v>
      </c>
      <c r="E33" s="424" t="s">
        <v>2622</v>
      </c>
      <c r="F33" s="424" t="s">
        <v>2622</v>
      </c>
      <c r="G33" s="424" t="s">
        <v>2622</v>
      </c>
      <c r="H33" s="89" t="str">
        <f t="shared" si="8"/>
        <v>NA</v>
      </c>
      <c r="I33" s="424" t="s">
        <v>2622</v>
      </c>
      <c r="J33" s="424" t="s">
        <v>2622</v>
      </c>
      <c r="K33" s="424" t="s">
        <v>2622</v>
      </c>
      <c r="L33" s="424" t="s">
        <v>2622</v>
      </c>
      <c r="M33" s="89" t="str">
        <f t="shared" si="9"/>
        <v>NA</v>
      </c>
      <c r="N33" s="424" t="s">
        <v>2622</v>
      </c>
      <c r="O33" s="546"/>
      <c r="P33" s="376" t="str">
        <f t="shared" si="0"/>
        <v>NA</v>
      </c>
      <c r="Q33" s="377" t="str">
        <f t="shared" si="1"/>
        <v>NA</v>
      </c>
    </row>
    <row r="34" spans="1:17" s="271" customFormat="1" ht="10.35" hidden="1" customHeight="1" x14ac:dyDescent="0.25">
      <c r="A34" s="139" t="s">
        <v>2270</v>
      </c>
      <c r="B34" s="549" t="s">
        <v>1319</v>
      </c>
      <c r="C34" s="603" t="s">
        <v>3353</v>
      </c>
      <c r="D34" s="611" t="s">
        <v>48</v>
      </c>
      <c r="E34" s="424" t="s">
        <v>2622</v>
      </c>
      <c r="F34" s="424" t="s">
        <v>2622</v>
      </c>
      <c r="G34" s="424" t="s">
        <v>2622</v>
      </c>
      <c r="H34" s="89" t="str">
        <f t="shared" si="8"/>
        <v>NA</v>
      </c>
      <c r="I34" s="424" t="s">
        <v>2622</v>
      </c>
      <c r="J34" s="424" t="s">
        <v>2622</v>
      </c>
      <c r="K34" s="424" t="s">
        <v>2622</v>
      </c>
      <c r="L34" s="424" t="s">
        <v>2622</v>
      </c>
      <c r="M34" s="89" t="str">
        <f t="shared" si="9"/>
        <v>NA</v>
      </c>
      <c r="N34" s="424" t="s">
        <v>2622</v>
      </c>
      <c r="O34" s="546"/>
      <c r="P34" s="376" t="str">
        <f t="shared" si="0"/>
        <v>NA</v>
      </c>
      <c r="Q34" s="377" t="str">
        <f t="shared" si="1"/>
        <v>NA</v>
      </c>
    </row>
    <row r="35" spans="1:17" s="271" customFormat="1" ht="10.35" hidden="1" customHeight="1" x14ac:dyDescent="0.25">
      <c r="A35" s="139" t="s">
        <v>2271</v>
      </c>
      <c r="B35" s="549" t="s">
        <v>1320</v>
      </c>
      <c r="C35" s="603" t="s">
        <v>3354</v>
      </c>
      <c r="D35" s="611" t="s">
        <v>48</v>
      </c>
      <c r="E35" s="424" t="s">
        <v>2622</v>
      </c>
      <c r="F35" s="424" t="s">
        <v>2622</v>
      </c>
      <c r="G35" s="424" t="s">
        <v>2622</v>
      </c>
      <c r="H35" s="89" t="str">
        <f t="shared" si="8"/>
        <v>NA</v>
      </c>
      <c r="I35" s="424" t="s">
        <v>2622</v>
      </c>
      <c r="J35" s="424" t="s">
        <v>2622</v>
      </c>
      <c r="K35" s="424" t="s">
        <v>2622</v>
      </c>
      <c r="L35" s="424" t="s">
        <v>2622</v>
      </c>
      <c r="M35" s="89" t="str">
        <f t="shared" si="9"/>
        <v>NA</v>
      </c>
      <c r="N35" s="424" t="s">
        <v>2622</v>
      </c>
      <c r="O35" s="546"/>
      <c r="P35" s="376" t="str">
        <f t="shared" si="0"/>
        <v>NA</v>
      </c>
      <c r="Q35" s="377" t="str">
        <f t="shared" si="1"/>
        <v>NA</v>
      </c>
    </row>
    <row r="36" spans="1:17" ht="10.35" customHeight="1" x14ac:dyDescent="0.25">
      <c r="A36" s="143" t="s">
        <v>2272</v>
      </c>
      <c r="B36" s="549" t="s">
        <v>1321</v>
      </c>
      <c r="C36" s="602" t="s">
        <v>3355</v>
      </c>
      <c r="D36" s="611" t="s">
        <v>48</v>
      </c>
      <c r="E36" s="89"/>
      <c r="F36" s="89"/>
      <c r="G36" s="473">
        <v>0</v>
      </c>
      <c r="H36" s="89" t="str">
        <f t="shared" ref="H36:H40" si="10">IF(OR(E36="NA",F36="NA"),"NA",IF(AND(E36="",F36=""),"",SUM(E36:G36)))</f>
        <v/>
      </c>
      <c r="I36" s="89"/>
      <c r="J36" s="89"/>
      <c r="K36" s="89"/>
      <c r="L36" s="473">
        <v>0</v>
      </c>
      <c r="M36" s="89" t="str">
        <f t="shared" ref="M36:M40" si="11">IF(OR(H36="NA",I36="NA",J36="NA",K36="NA"),"NA",IF(AND(H36="",I36="",J36="",K36=""),"",SUM(H36:L36)))</f>
        <v/>
      </c>
      <c r="N36" s="89"/>
      <c r="O36" s="546"/>
      <c r="P36" s="178">
        <f t="shared" si="0"/>
        <v>0</v>
      </c>
      <c r="Q36" s="179">
        <f t="shared" si="1"/>
        <v>0</v>
      </c>
    </row>
    <row r="37" spans="1:17" ht="10.35" customHeight="1" x14ac:dyDescent="0.25">
      <c r="A37" s="143" t="s">
        <v>2273</v>
      </c>
      <c r="B37" s="549" t="s">
        <v>1322</v>
      </c>
      <c r="C37" s="602" t="s">
        <v>3356</v>
      </c>
      <c r="D37" s="611" t="s">
        <v>48</v>
      </c>
      <c r="E37" s="89"/>
      <c r="F37" s="89"/>
      <c r="G37" s="473">
        <v>0</v>
      </c>
      <c r="H37" s="89" t="str">
        <f t="shared" si="10"/>
        <v/>
      </c>
      <c r="I37" s="89"/>
      <c r="J37" s="89"/>
      <c r="K37" s="89"/>
      <c r="L37" s="473">
        <v>0</v>
      </c>
      <c r="M37" s="89" t="str">
        <f t="shared" si="11"/>
        <v/>
      </c>
      <c r="N37" s="89"/>
      <c r="O37" s="546"/>
      <c r="P37" s="178">
        <f t="shared" si="0"/>
        <v>0</v>
      </c>
      <c r="Q37" s="179">
        <f t="shared" si="1"/>
        <v>0</v>
      </c>
    </row>
    <row r="38" spans="1:17" ht="10.35" customHeight="1" x14ac:dyDescent="0.25">
      <c r="A38" s="143" t="s">
        <v>2274</v>
      </c>
      <c r="B38" s="549" t="s">
        <v>1323</v>
      </c>
      <c r="C38" s="602" t="s">
        <v>3357</v>
      </c>
      <c r="D38" s="611" t="s">
        <v>48</v>
      </c>
      <c r="E38" s="89"/>
      <c r="F38" s="89"/>
      <c r="G38" s="473">
        <v>0</v>
      </c>
      <c r="H38" s="89" t="str">
        <f t="shared" si="10"/>
        <v/>
      </c>
      <c r="I38" s="89"/>
      <c r="J38" s="89"/>
      <c r="K38" s="89"/>
      <c r="L38" s="473">
        <v>0</v>
      </c>
      <c r="M38" s="89" t="str">
        <f t="shared" si="11"/>
        <v/>
      </c>
      <c r="N38" s="89"/>
      <c r="O38" s="546"/>
      <c r="P38" s="178">
        <f t="shared" si="0"/>
        <v>0</v>
      </c>
      <c r="Q38" s="179">
        <f t="shared" si="1"/>
        <v>0</v>
      </c>
    </row>
    <row r="39" spans="1:17" ht="10.35" customHeight="1" x14ac:dyDescent="0.25">
      <c r="A39" s="143" t="s">
        <v>2275</v>
      </c>
      <c r="B39" s="549" t="s">
        <v>1324</v>
      </c>
      <c r="C39" s="602" t="s">
        <v>3358</v>
      </c>
      <c r="D39" s="611" t="s">
        <v>48</v>
      </c>
      <c r="E39" s="89"/>
      <c r="F39" s="89"/>
      <c r="G39" s="473">
        <v>0</v>
      </c>
      <c r="H39" s="89" t="str">
        <f t="shared" si="10"/>
        <v/>
      </c>
      <c r="I39" s="89"/>
      <c r="J39" s="89"/>
      <c r="K39" s="89"/>
      <c r="L39" s="473">
        <v>0</v>
      </c>
      <c r="M39" s="89" t="str">
        <f t="shared" si="11"/>
        <v/>
      </c>
      <c r="N39" s="89"/>
      <c r="O39" s="546"/>
      <c r="P39" s="178">
        <f t="shared" si="0"/>
        <v>0</v>
      </c>
      <c r="Q39" s="179">
        <f t="shared" si="1"/>
        <v>0</v>
      </c>
    </row>
    <row r="40" spans="1:17" ht="10.35" customHeight="1" x14ac:dyDescent="0.25">
      <c r="A40" s="143" t="s">
        <v>2276</v>
      </c>
      <c r="B40" s="551" t="s">
        <v>1325</v>
      </c>
      <c r="C40" s="605" t="s">
        <v>3359</v>
      </c>
      <c r="D40" s="632" t="s">
        <v>48</v>
      </c>
      <c r="E40" s="148"/>
      <c r="F40" s="148"/>
      <c r="G40" s="473">
        <v>0</v>
      </c>
      <c r="H40" s="89" t="str">
        <f t="shared" si="10"/>
        <v/>
      </c>
      <c r="I40" s="148"/>
      <c r="J40" s="148"/>
      <c r="K40" s="148"/>
      <c r="L40" s="473">
        <v>0</v>
      </c>
      <c r="M40" s="89" t="str">
        <f t="shared" si="11"/>
        <v/>
      </c>
      <c r="N40" s="148"/>
      <c r="O40" s="546"/>
      <c r="P40" s="181">
        <f t="shared" si="0"/>
        <v>0</v>
      </c>
      <c r="Q40" s="182">
        <f t="shared" si="1"/>
        <v>0</v>
      </c>
    </row>
    <row r="41" spans="1:17" ht="15" customHeight="1" x14ac:dyDescent="0.25">
      <c r="A41" s="143" t="s">
        <v>1729</v>
      </c>
      <c r="B41" s="547" t="s">
        <v>1326</v>
      </c>
      <c r="C41" s="601" t="s">
        <v>3366</v>
      </c>
      <c r="D41" s="611" t="s">
        <v>48</v>
      </c>
      <c r="E41" s="498">
        <f>+IF(ISBLANK(Table3!E71),"",Table3!E71)</f>
        <v>4188.0809999999992</v>
      </c>
      <c r="F41" s="498">
        <f>+IF(ISBLANK(Table3!F71),"",Table3!F71)</f>
        <v>2.4E-2</v>
      </c>
      <c r="G41" s="498">
        <f>+IF(ISBLANK(Table3!G71),"",Table3!G71)</f>
        <v>0</v>
      </c>
      <c r="H41" s="498">
        <f>+IF(ISBLANK(Table3!H71),"",Table3!H71)</f>
        <v>4188.1049999999996</v>
      </c>
      <c r="I41" s="498">
        <f>+IF(ISBLANK(Table3!I71),"",Table3!I71)</f>
        <v>0.28208499999999997</v>
      </c>
      <c r="J41" s="498">
        <f>+IF(ISBLANK(Table3!J71),"",Table3!J71)</f>
        <v>-0.27287099999999853</v>
      </c>
      <c r="K41" s="498">
        <f>+IF(ISBLANK(Table3!K71),"",Table3!K71)</f>
        <v>-260.00190399999997</v>
      </c>
      <c r="L41" s="498">
        <f>+IF(ISBLANK(Table3!L71),"",Table3!L71)</f>
        <v>0</v>
      </c>
      <c r="M41" s="498">
        <f>+IF(ISBLANK(Table3!M71),"",Table3!M71)</f>
        <v>3928.11231</v>
      </c>
      <c r="N41" s="498">
        <f>+IF(ISBLANK(Table3!N71),"",Table3!N71)</f>
        <v>4188.3870850000003</v>
      </c>
      <c r="O41" s="546"/>
      <c r="P41" s="178">
        <f t="shared" si="0"/>
        <v>0</v>
      </c>
      <c r="Q41" s="179">
        <f t="shared" si="1"/>
        <v>4.5474735088646412E-13</v>
      </c>
    </row>
    <row r="42" spans="1:17" ht="10.35" customHeight="1" x14ac:dyDescent="0.25">
      <c r="A42" s="143" t="s">
        <v>2277</v>
      </c>
      <c r="B42" s="549" t="s">
        <v>1327</v>
      </c>
      <c r="C42" s="602" t="s">
        <v>3348</v>
      </c>
      <c r="D42" s="611" t="s">
        <v>48</v>
      </c>
      <c r="E42" s="89"/>
      <c r="F42" s="89"/>
      <c r="G42" s="473">
        <v>0</v>
      </c>
      <c r="H42" s="89" t="str">
        <f t="shared" ref="H42:H45" si="12">IF(OR(E42="NA",F42="NA"),"NA",IF(AND(E42="",F42=""),"",SUM(E42:G42)))</f>
        <v/>
      </c>
      <c r="I42" s="89"/>
      <c r="J42" s="89"/>
      <c r="K42" s="93"/>
      <c r="L42" s="473">
        <v>0</v>
      </c>
      <c r="M42" s="89" t="str">
        <f t="shared" ref="M42:M45" si="13">IF(OR(H42="NA",I42="NA",J42="NA",K42="NA"),"NA",IF(AND(H42="",I42="",J42="",K42=""),"",SUM(H42:L42)))</f>
        <v/>
      </c>
      <c r="N42" s="89"/>
      <c r="O42" s="546"/>
      <c r="P42" s="178">
        <f t="shared" si="0"/>
        <v>0</v>
      </c>
      <c r="Q42" s="179">
        <f t="shared" si="1"/>
        <v>0</v>
      </c>
    </row>
    <row r="43" spans="1:17" ht="10.35" customHeight="1" x14ac:dyDescent="0.25">
      <c r="A43" s="143" t="s">
        <v>2278</v>
      </c>
      <c r="B43" s="549" t="s">
        <v>1328</v>
      </c>
      <c r="C43" s="602" t="s">
        <v>3361</v>
      </c>
      <c r="D43" s="611" t="s">
        <v>48</v>
      </c>
      <c r="E43" s="89"/>
      <c r="F43" s="89"/>
      <c r="G43" s="473">
        <v>0</v>
      </c>
      <c r="H43" s="89" t="str">
        <f t="shared" si="12"/>
        <v/>
      </c>
      <c r="I43" s="89"/>
      <c r="J43" s="89"/>
      <c r="K43" s="93"/>
      <c r="L43" s="473">
        <v>0</v>
      </c>
      <c r="M43" s="89" t="str">
        <f t="shared" si="13"/>
        <v/>
      </c>
      <c r="N43" s="89"/>
      <c r="O43" s="546"/>
      <c r="P43" s="178">
        <f t="shared" si="0"/>
        <v>0</v>
      </c>
      <c r="Q43" s="179">
        <f t="shared" si="1"/>
        <v>0</v>
      </c>
    </row>
    <row r="44" spans="1:17" ht="10.35" customHeight="1" x14ac:dyDescent="0.25">
      <c r="A44" s="143" t="s">
        <v>2279</v>
      </c>
      <c r="B44" s="549" t="s">
        <v>1329</v>
      </c>
      <c r="C44" s="602" t="s">
        <v>3362</v>
      </c>
      <c r="D44" s="611" t="s">
        <v>48</v>
      </c>
      <c r="E44" s="89"/>
      <c r="F44" s="89"/>
      <c r="G44" s="473">
        <v>0</v>
      </c>
      <c r="H44" s="89" t="str">
        <f t="shared" si="12"/>
        <v/>
      </c>
      <c r="I44" s="89"/>
      <c r="J44" s="89"/>
      <c r="K44" s="93"/>
      <c r="L44" s="473">
        <v>0</v>
      </c>
      <c r="M44" s="89" t="str">
        <f t="shared" si="13"/>
        <v/>
      </c>
      <c r="N44" s="89"/>
      <c r="O44" s="546"/>
      <c r="P44" s="178">
        <f t="shared" si="0"/>
        <v>0</v>
      </c>
      <c r="Q44" s="179">
        <f t="shared" si="1"/>
        <v>0</v>
      </c>
    </row>
    <row r="45" spans="1:17" ht="10.35" customHeight="1" x14ac:dyDescent="0.25">
      <c r="A45" s="143" t="s">
        <v>2280</v>
      </c>
      <c r="B45" s="536" t="s">
        <v>1330</v>
      </c>
      <c r="C45" s="608" t="s">
        <v>3363</v>
      </c>
      <c r="D45" s="623" t="s">
        <v>48</v>
      </c>
      <c r="E45" s="146"/>
      <c r="F45" s="146"/>
      <c r="G45" s="474">
        <v>0</v>
      </c>
      <c r="H45" s="146" t="str">
        <f t="shared" si="12"/>
        <v/>
      </c>
      <c r="I45" s="146"/>
      <c r="J45" s="146"/>
      <c r="K45" s="147"/>
      <c r="L45" s="474">
        <v>0</v>
      </c>
      <c r="M45" s="146" t="str">
        <f t="shared" si="13"/>
        <v/>
      </c>
      <c r="N45" s="146"/>
      <c r="O45" s="546"/>
      <c r="P45" s="188">
        <f t="shared" si="0"/>
        <v>0</v>
      </c>
      <c r="Q45" s="189">
        <f t="shared" si="1"/>
        <v>0</v>
      </c>
    </row>
    <row r="46" spans="1:17" ht="10.5" customHeight="1" x14ac:dyDescent="0.2">
      <c r="B46" s="580"/>
      <c r="C46" s="531"/>
      <c r="D46" s="531"/>
      <c r="E46" s="581"/>
      <c r="F46" s="581"/>
      <c r="G46" s="581"/>
      <c r="H46" s="581"/>
      <c r="I46" s="581"/>
      <c r="J46" s="581"/>
      <c r="K46" s="581"/>
      <c r="L46" s="581"/>
      <c r="M46" s="581"/>
      <c r="N46" s="581"/>
      <c r="O46" s="616"/>
      <c r="P46" s="258"/>
      <c r="Q46" s="258"/>
    </row>
    <row r="47" spans="1:17" s="279" customFormat="1" ht="15" customHeight="1" x14ac:dyDescent="0.2">
      <c r="B47" s="194" t="s">
        <v>3367</v>
      </c>
      <c r="C47" s="195"/>
      <c r="D47" s="195"/>
      <c r="E47" s="239"/>
      <c r="F47" s="239"/>
      <c r="G47" s="239"/>
      <c r="H47" s="239"/>
      <c r="I47" s="239"/>
      <c r="J47" s="239"/>
      <c r="K47" s="239"/>
      <c r="L47" s="239"/>
      <c r="M47" s="239"/>
      <c r="N47" s="240"/>
      <c r="O47" s="288"/>
      <c r="P47" s="280"/>
      <c r="Q47" s="280"/>
    </row>
    <row r="48" spans="1:17" ht="12.95" customHeight="1" x14ac:dyDescent="0.2">
      <c r="B48" s="724" t="s">
        <v>2776</v>
      </c>
      <c r="C48" s="103"/>
      <c r="D48" s="103" t="s">
        <v>48</v>
      </c>
      <c r="E48" s="242"/>
      <c r="F48" s="242"/>
      <c r="G48" s="242"/>
      <c r="H48" s="242"/>
      <c r="I48" s="242"/>
      <c r="J48" s="242"/>
      <c r="K48" s="242"/>
      <c r="L48" s="242"/>
      <c r="M48" s="242"/>
      <c r="N48" s="242"/>
      <c r="O48" s="202"/>
      <c r="P48" s="258"/>
      <c r="Q48" s="258"/>
    </row>
    <row r="49" spans="2:17" ht="10.35" customHeight="1" x14ac:dyDescent="0.2">
      <c r="B49" s="190"/>
      <c r="C49" s="103" t="s">
        <v>910</v>
      </c>
      <c r="D49" s="103" t="s">
        <v>48</v>
      </c>
      <c r="E49" s="243">
        <f t="shared" ref="E49:N49" si="14">IF(OR(E8="NA",E9="NA",E22="NA"),"NA",-SUM(E8)+SUM(E9)+SUM(E22))</f>
        <v>-3.2116531656356528E-12</v>
      </c>
      <c r="F49" s="243">
        <f t="shared" si="14"/>
        <v>1.7763568394002505E-14</v>
      </c>
      <c r="G49" s="243">
        <f t="shared" si="14"/>
        <v>0</v>
      </c>
      <c r="H49" s="243">
        <f t="shared" si="14"/>
        <v>-5.4285465012071654E-12</v>
      </c>
      <c r="I49" s="243">
        <f t="shared" si="14"/>
        <v>0</v>
      </c>
      <c r="J49" s="243">
        <f t="shared" si="14"/>
        <v>-1.9895196601282805E-13</v>
      </c>
      <c r="K49" s="243">
        <f t="shared" si="14"/>
        <v>1.6555645743210334E-12</v>
      </c>
      <c r="L49" s="243">
        <f t="shared" si="14"/>
        <v>0</v>
      </c>
      <c r="M49" s="243">
        <f t="shared" si="14"/>
        <v>5.1159076974727213E-13</v>
      </c>
      <c r="N49" s="243">
        <f t="shared" si="14"/>
        <v>1.8474111129762605E-12</v>
      </c>
      <c r="O49" s="202"/>
      <c r="P49" s="258"/>
      <c r="Q49" s="258"/>
    </row>
    <row r="50" spans="2:17" ht="10.35" customHeight="1" x14ac:dyDescent="0.2">
      <c r="B50" s="233"/>
      <c r="C50" s="76" t="s">
        <v>911</v>
      </c>
      <c r="D50" s="76" t="s">
        <v>48</v>
      </c>
      <c r="E50" s="243">
        <f t="shared" ref="E50:N50" si="15">IF(OR(E9="NA",E10="NA",E17="NA",E18="NA",E19="NA",E20="NA",E21="NA"),"NA",-SUM(E9)+SUM(E10)+SUM(E17)+SUM(E18)+SUM(E19)+SUM(E20)+SUM(E21))</f>
        <v>-40259.537151074001</v>
      </c>
      <c r="F50" s="243">
        <f t="shared" si="15"/>
        <v>-272.77400299999994</v>
      </c>
      <c r="G50" s="243">
        <f t="shared" si="15"/>
        <v>0</v>
      </c>
      <c r="H50" s="243">
        <f t="shared" si="15"/>
        <v>-40532.311154073992</v>
      </c>
      <c r="I50" s="243">
        <f t="shared" si="15"/>
        <v>-158.349377</v>
      </c>
      <c r="J50" s="243">
        <f t="shared" si="15"/>
        <v>-3822.8358121719998</v>
      </c>
      <c r="K50" s="243">
        <f t="shared" si="15"/>
        <v>-10260.102753020001</v>
      </c>
      <c r="L50" s="243">
        <f t="shared" si="15"/>
        <v>0</v>
      </c>
      <c r="M50" s="243">
        <f t="shared" si="15"/>
        <v>-54773.599096266</v>
      </c>
      <c r="N50" s="243">
        <f t="shared" si="15"/>
        <v>-38777.278531074</v>
      </c>
      <c r="O50" s="202"/>
      <c r="P50" s="258"/>
      <c r="Q50" s="258"/>
    </row>
    <row r="51" spans="2:17" ht="10.35" customHeight="1" x14ac:dyDescent="0.2">
      <c r="B51" s="233"/>
      <c r="C51" s="76" t="s">
        <v>912</v>
      </c>
      <c r="D51" s="76" t="s">
        <v>48</v>
      </c>
      <c r="E51" s="243">
        <f t="shared" ref="E51:N51" si="16">IF(OR(E22="NA",E23="NA",E24="NA",E25="NA",E26="NA"),"NA",-SUM(E22)+SUM(E23)+SUM(E24)+SUM(E25)+SUM(E26))</f>
        <v>112.97269499999996</v>
      </c>
      <c r="F51" s="243">
        <f t="shared" si="16"/>
        <v>-17.497147999999999</v>
      </c>
      <c r="G51" s="243">
        <f t="shared" si="16"/>
        <v>0</v>
      </c>
      <c r="H51" s="243">
        <f t="shared" si="16"/>
        <v>95.475546999999978</v>
      </c>
      <c r="I51" s="243">
        <f t="shared" si="16"/>
        <v>0</v>
      </c>
      <c r="J51" s="243">
        <f t="shared" si="16"/>
        <v>57.470853000000005</v>
      </c>
      <c r="K51" s="243">
        <f t="shared" si="16"/>
        <v>9.0427050000000051</v>
      </c>
      <c r="L51" s="243">
        <f t="shared" si="16"/>
        <v>0</v>
      </c>
      <c r="M51" s="243">
        <f t="shared" si="16"/>
        <v>161.98910500000005</v>
      </c>
      <c r="N51" s="243">
        <f t="shared" si="16"/>
        <v>95.475546999999978</v>
      </c>
      <c r="O51" s="202"/>
      <c r="P51" s="258"/>
      <c r="Q51" s="258"/>
    </row>
    <row r="52" spans="2:17" ht="10.35" hidden="1" customHeight="1" x14ac:dyDescent="0.2">
      <c r="B52" s="233"/>
      <c r="C52" s="76" t="s">
        <v>909</v>
      </c>
      <c r="D52" s="76"/>
      <c r="E52" s="243" t="str">
        <f t="shared" ref="E52:N52" si="17">IF(OR(E10="NA",E11="NA",E14="NA",E15="NA",E16="NA"),"NA",-SUM(E10)+SUM(E11)+SUM(E14)+SUM(E15)+SUM(E16))</f>
        <v>NA</v>
      </c>
      <c r="F52" s="243" t="str">
        <f t="shared" si="17"/>
        <v>NA</v>
      </c>
      <c r="G52" s="243" t="str">
        <f t="shared" si="17"/>
        <v>NA</v>
      </c>
      <c r="H52" s="243" t="str">
        <f t="shared" si="17"/>
        <v>NA</v>
      </c>
      <c r="I52" s="243" t="str">
        <f t="shared" si="17"/>
        <v>NA</v>
      </c>
      <c r="J52" s="243" t="str">
        <f t="shared" si="17"/>
        <v>NA</v>
      </c>
      <c r="K52" s="243" t="str">
        <f t="shared" si="17"/>
        <v>NA</v>
      </c>
      <c r="L52" s="243" t="str">
        <f t="shared" si="17"/>
        <v>NA</v>
      </c>
      <c r="M52" s="243" t="str">
        <f t="shared" si="17"/>
        <v>NA</v>
      </c>
      <c r="N52" s="243" t="str">
        <f t="shared" si="17"/>
        <v>NA</v>
      </c>
      <c r="O52" s="202"/>
      <c r="P52" s="258"/>
      <c r="Q52" s="258"/>
    </row>
    <row r="53" spans="2:17" ht="10.35" hidden="1" customHeight="1" x14ac:dyDescent="0.2">
      <c r="B53" s="233"/>
      <c r="C53" s="140" t="s">
        <v>916</v>
      </c>
      <c r="D53" s="140"/>
      <c r="E53" s="244" t="str">
        <f t="shared" ref="E53:N53" si="18">IF(OR(E11="NA",E12="NA",E13="NA"),"NA",-SUM(E11)+SUM(E12)+SUM(E13))</f>
        <v>NA</v>
      </c>
      <c r="F53" s="244" t="str">
        <f t="shared" si="18"/>
        <v>NA</v>
      </c>
      <c r="G53" s="244" t="str">
        <f t="shared" si="18"/>
        <v>NA</v>
      </c>
      <c r="H53" s="244" t="str">
        <f t="shared" si="18"/>
        <v>NA</v>
      </c>
      <c r="I53" s="244" t="str">
        <f t="shared" si="18"/>
        <v>NA</v>
      </c>
      <c r="J53" s="244" t="str">
        <f t="shared" si="18"/>
        <v>NA</v>
      </c>
      <c r="K53" s="244" t="str">
        <f t="shared" si="18"/>
        <v>NA</v>
      </c>
      <c r="L53" s="244" t="str">
        <f t="shared" si="18"/>
        <v>NA</v>
      </c>
      <c r="M53" s="244" t="str">
        <f t="shared" si="18"/>
        <v>NA</v>
      </c>
      <c r="N53" s="244" t="str">
        <f t="shared" si="18"/>
        <v>NA</v>
      </c>
      <c r="O53" s="202"/>
      <c r="P53" s="258"/>
      <c r="Q53" s="258"/>
    </row>
    <row r="54" spans="2:17" ht="10.35" customHeight="1" x14ac:dyDescent="0.2">
      <c r="B54" s="190"/>
      <c r="C54" s="103" t="s">
        <v>913</v>
      </c>
      <c r="D54" s="103" t="s">
        <v>48</v>
      </c>
      <c r="E54" s="243">
        <f t="shared" ref="E54:N54" si="19">IF(OR(E27="NA",E28="NA",E41="NA"),"NA",-SUM(E27)+SUM(E28)+SUM(E41))</f>
        <v>-6.3664629124104977E-12</v>
      </c>
      <c r="F54" s="243">
        <f t="shared" si="19"/>
        <v>-9.0899510141184692E-16</v>
      </c>
      <c r="G54" s="243">
        <f t="shared" si="19"/>
        <v>0</v>
      </c>
      <c r="H54" s="243">
        <f t="shared" si="19"/>
        <v>-1.0913936421275139E-11</v>
      </c>
      <c r="I54" s="243">
        <f t="shared" si="19"/>
        <v>-5.1902926401226068E-14</v>
      </c>
      <c r="J54" s="243">
        <f t="shared" si="19"/>
        <v>1.2434497875801753E-13</v>
      </c>
      <c r="K54" s="243">
        <f t="shared" si="19"/>
        <v>2.2737367544323206E-13</v>
      </c>
      <c r="L54" s="243">
        <f t="shared" si="19"/>
        <v>0</v>
      </c>
      <c r="M54" s="243">
        <f t="shared" si="19"/>
        <v>3.1832314562052488E-12</v>
      </c>
      <c r="N54" s="243">
        <f t="shared" si="19"/>
        <v>5.4569682106375694E-12</v>
      </c>
      <c r="O54" s="202"/>
      <c r="P54" s="258"/>
      <c r="Q54" s="258"/>
    </row>
    <row r="55" spans="2:17" ht="10.35" customHeight="1" x14ac:dyDescent="0.2">
      <c r="B55" s="190"/>
      <c r="C55" s="76" t="s">
        <v>914</v>
      </c>
      <c r="D55" s="103" t="s">
        <v>48</v>
      </c>
      <c r="E55" s="243">
        <f t="shared" ref="E55:N55" si="20">IF(OR(E28="NA",E29="NA",E36="NA",E37="NA",E38="NA",E39="NA",E40="NA"),"NA",-SUM(E28)+SUM(E29)+SUM(E36)+SUM(E37)+SUM(E38)+SUM(E39)+SUM(E40))</f>
        <v>-69100.629000000001</v>
      </c>
      <c r="F55" s="243">
        <f t="shared" si="20"/>
        <v>-339.38799999999998</v>
      </c>
      <c r="G55" s="243">
        <f t="shared" si="20"/>
        <v>0</v>
      </c>
      <c r="H55" s="243">
        <f t="shared" si="20"/>
        <v>-69440.016999999993</v>
      </c>
      <c r="I55" s="243">
        <f t="shared" si="20"/>
        <v>-1181.0898029999998</v>
      </c>
      <c r="J55" s="243">
        <f t="shared" si="20"/>
        <v>-4783.2236810000004</v>
      </c>
      <c r="K55" s="243">
        <f t="shared" si="20"/>
        <v>-1527.5019280000001</v>
      </c>
      <c r="L55" s="243">
        <f t="shared" si="20"/>
        <v>0</v>
      </c>
      <c r="M55" s="243">
        <f t="shared" si="20"/>
        <v>-76931.832411999989</v>
      </c>
      <c r="N55" s="243">
        <f t="shared" si="20"/>
        <v>-70405.316802999994</v>
      </c>
      <c r="O55" s="202"/>
      <c r="P55" s="258"/>
      <c r="Q55" s="258"/>
    </row>
    <row r="56" spans="2:17" ht="10.35" customHeight="1" x14ac:dyDescent="0.2">
      <c r="B56" s="233"/>
      <c r="C56" s="76" t="s">
        <v>915</v>
      </c>
      <c r="D56" s="76" t="s">
        <v>48</v>
      </c>
      <c r="E56" s="243">
        <f t="shared" ref="E56:N56" si="21">IF(OR(E41="NA",E42="NA",E43="NA",E44="NA",E45="NA"),"NA",-SUM(E41)+SUM(E42)+SUM(E43)+SUM(E44)+SUM(E45))</f>
        <v>-4188.0809999999992</v>
      </c>
      <c r="F56" s="243">
        <f t="shared" si="21"/>
        <v>-2.4E-2</v>
      </c>
      <c r="G56" s="243">
        <f t="shared" si="21"/>
        <v>0</v>
      </c>
      <c r="H56" s="243">
        <f t="shared" si="21"/>
        <v>-4188.1049999999996</v>
      </c>
      <c r="I56" s="243">
        <f t="shared" si="21"/>
        <v>-0.28208499999999997</v>
      </c>
      <c r="J56" s="243">
        <f t="shared" si="21"/>
        <v>0.27287099999999853</v>
      </c>
      <c r="K56" s="243">
        <f t="shared" si="21"/>
        <v>260.00190399999997</v>
      </c>
      <c r="L56" s="243">
        <f t="shared" si="21"/>
        <v>0</v>
      </c>
      <c r="M56" s="243">
        <f t="shared" si="21"/>
        <v>-3928.11231</v>
      </c>
      <c r="N56" s="243">
        <f t="shared" si="21"/>
        <v>-4188.3870850000003</v>
      </c>
      <c r="O56" s="202"/>
      <c r="P56" s="258"/>
      <c r="Q56" s="258"/>
    </row>
    <row r="57" spans="2:17" ht="10.35" hidden="1" customHeight="1" x14ac:dyDescent="0.2">
      <c r="B57" s="233"/>
      <c r="C57" s="76" t="s">
        <v>917</v>
      </c>
      <c r="D57" s="76"/>
      <c r="E57" s="243" t="str">
        <f t="shared" ref="E57:N57" si="22">IF(OR(E29="NA",E30="NA",E33="NA",E34="NA",E35="NA"),"NA",-SUM(E29)+SUM(E30)+SUM(E33)+SUM(E34)+SUM(E35))</f>
        <v>NA</v>
      </c>
      <c r="F57" s="243" t="str">
        <f t="shared" si="22"/>
        <v>NA</v>
      </c>
      <c r="G57" s="243" t="str">
        <f t="shared" si="22"/>
        <v>NA</v>
      </c>
      <c r="H57" s="243" t="str">
        <f t="shared" si="22"/>
        <v>NA</v>
      </c>
      <c r="I57" s="243" t="str">
        <f t="shared" si="22"/>
        <v>NA</v>
      </c>
      <c r="J57" s="243" t="str">
        <f t="shared" si="22"/>
        <v>NA</v>
      </c>
      <c r="K57" s="243" t="str">
        <f t="shared" si="22"/>
        <v>NA</v>
      </c>
      <c r="L57" s="243" t="str">
        <f t="shared" si="22"/>
        <v>NA</v>
      </c>
      <c r="M57" s="243" t="str">
        <f t="shared" si="22"/>
        <v>NA</v>
      </c>
      <c r="N57" s="243" t="str">
        <f t="shared" si="22"/>
        <v>NA</v>
      </c>
      <c r="O57" s="202"/>
      <c r="P57" s="258"/>
      <c r="Q57" s="258"/>
    </row>
    <row r="58" spans="2:17" ht="10.35" hidden="1" customHeight="1" x14ac:dyDescent="0.2">
      <c r="B58" s="204"/>
      <c r="C58" s="140" t="s">
        <v>918</v>
      </c>
      <c r="D58" s="140"/>
      <c r="E58" s="244" t="str">
        <f t="shared" ref="E58:N58" si="23">IF(OR(E30="NA",E31="NA",E32="NA"),"NA",-SUM(E30)+SUM(E31)+SUM(E32))</f>
        <v>NA</v>
      </c>
      <c r="F58" s="244" t="str">
        <f t="shared" si="23"/>
        <v>NA</v>
      </c>
      <c r="G58" s="244" t="str">
        <f t="shared" si="23"/>
        <v>NA</v>
      </c>
      <c r="H58" s="244" t="str">
        <f t="shared" si="23"/>
        <v>NA</v>
      </c>
      <c r="I58" s="244" t="str">
        <f t="shared" si="23"/>
        <v>NA</v>
      </c>
      <c r="J58" s="244" t="str">
        <f t="shared" si="23"/>
        <v>NA</v>
      </c>
      <c r="K58" s="244" t="str">
        <f t="shared" si="23"/>
        <v>NA</v>
      </c>
      <c r="L58" s="244" t="str">
        <f t="shared" si="23"/>
        <v>NA</v>
      </c>
      <c r="M58" s="244" t="str">
        <f t="shared" si="23"/>
        <v>NA</v>
      </c>
      <c r="N58" s="244" t="str">
        <f t="shared" si="23"/>
        <v>NA</v>
      </c>
      <c r="O58" s="202"/>
      <c r="P58" s="258"/>
      <c r="Q58" s="258"/>
    </row>
    <row r="59" spans="2:17" s="103" customFormat="1" ht="10.9" customHeight="1" x14ac:dyDescent="0.15">
      <c r="B59" s="200" t="s">
        <v>2777</v>
      </c>
      <c r="E59" s="212"/>
      <c r="F59" s="212"/>
      <c r="G59" s="212"/>
      <c r="H59" s="212"/>
      <c r="I59" s="212"/>
      <c r="J59" s="212"/>
      <c r="K59" s="212"/>
      <c r="L59" s="212"/>
      <c r="M59" s="212"/>
      <c r="N59" s="212"/>
      <c r="O59" s="191"/>
      <c r="P59" s="191"/>
      <c r="Q59" s="191"/>
    </row>
    <row r="60" spans="2:17" s="103" customFormat="1" ht="10.9" customHeight="1" x14ac:dyDescent="0.15">
      <c r="B60" s="200"/>
      <c r="C60" s="213" t="s">
        <v>2778</v>
      </c>
      <c r="E60" s="212"/>
      <c r="F60" s="212"/>
      <c r="G60" s="212"/>
      <c r="H60" s="212"/>
      <c r="I60" s="212"/>
      <c r="J60" s="212"/>
      <c r="K60" s="212"/>
      <c r="L60" s="212"/>
      <c r="M60" s="212"/>
      <c r="N60" s="212"/>
      <c r="O60" s="191"/>
      <c r="P60" s="191"/>
      <c r="Q60" s="191"/>
    </row>
    <row r="61" spans="2:17" s="103" customFormat="1" ht="10.9" customHeight="1" x14ac:dyDescent="0.15">
      <c r="B61" s="190"/>
      <c r="C61" s="214" t="s">
        <v>3374</v>
      </c>
      <c r="E61" s="215"/>
      <c r="F61" s="215"/>
      <c r="G61" s="203" t="str">
        <f>IF(OR(G1="NA",G20="NA"),"NA",IF(ROUND(SUM(G1)-SUM(G20),1)=0,"si","verificar!"))</f>
        <v>si</v>
      </c>
      <c r="H61" s="741"/>
      <c r="I61" s="741"/>
      <c r="J61" s="741"/>
      <c r="K61" s="741"/>
      <c r="L61" s="203" t="str">
        <f>IF(OR(L1="NA",L20="NA"),"NA",IF(ROUND(SUM(L1)-SUM(L20),1)=0,"si","verificar!"))</f>
        <v>si</v>
      </c>
      <c r="M61" s="215"/>
      <c r="N61" s="215"/>
      <c r="O61" s="191"/>
      <c r="P61" s="191"/>
      <c r="Q61" s="191"/>
    </row>
    <row r="62" spans="2:17" s="103" customFormat="1" ht="9.75" customHeight="1" x14ac:dyDescent="0.15">
      <c r="B62" s="200"/>
      <c r="C62" s="213" t="s">
        <v>2959</v>
      </c>
      <c r="E62" s="212"/>
      <c r="F62" s="212"/>
      <c r="G62" s="212"/>
      <c r="H62" s="212"/>
      <c r="I62" s="212"/>
      <c r="J62" s="212"/>
      <c r="K62" s="212"/>
      <c r="L62" s="212"/>
      <c r="M62" s="212"/>
      <c r="N62" s="212"/>
      <c r="O62" s="191"/>
      <c r="P62" s="191"/>
      <c r="Q62" s="191"/>
    </row>
    <row r="63" spans="2:17" s="257" customFormat="1" ht="9.75" customHeight="1" x14ac:dyDescent="0.15">
      <c r="B63" s="190"/>
      <c r="C63" s="214" t="s">
        <v>3372</v>
      </c>
      <c r="D63" s="103"/>
      <c r="E63" s="215"/>
      <c r="F63" s="215"/>
      <c r="G63" s="215"/>
      <c r="H63" s="215"/>
      <c r="I63" s="215"/>
      <c r="J63" s="215"/>
      <c r="K63" s="215"/>
      <c r="L63" s="215"/>
      <c r="M63" s="203" t="str">
        <f t="array" ref="M63">IF(OR(M10="NA"),"NA",IF(ISNUMBER(M10),IF(ROUND(M10,1)&lt;0.1,"si","Vérificar!"),"Vérificar!"))</f>
        <v>si</v>
      </c>
      <c r="N63" s="215"/>
      <c r="O63" s="191"/>
      <c r="P63" s="191"/>
      <c r="Q63" s="267"/>
    </row>
    <row r="64" spans="2:17" s="257" customFormat="1" ht="9.75" customHeight="1" x14ac:dyDescent="0.15">
      <c r="B64" s="190"/>
      <c r="C64" s="214" t="s">
        <v>3373</v>
      </c>
      <c r="D64" s="103"/>
      <c r="E64" s="215"/>
      <c r="F64" s="215"/>
      <c r="G64" s="215"/>
      <c r="H64" s="215"/>
      <c r="I64" s="215"/>
      <c r="J64" s="215"/>
      <c r="K64" s="215"/>
      <c r="L64" s="215"/>
      <c r="M64" s="203" t="str">
        <f t="array" ref="M64">IF(OR(M29="NA"),"NA",IF(ISNUMBER(M29),IF(ROUND(M29,1)&lt;0.1,"si","Vérificar!"),"Vérificar!"))</f>
        <v>si</v>
      </c>
      <c r="N64" s="215"/>
      <c r="O64" s="191"/>
      <c r="P64" s="191"/>
      <c r="Q64" s="267"/>
    </row>
    <row r="65" spans="2:17" s="103" customFormat="1" ht="10.9" customHeight="1" x14ac:dyDescent="0.15">
      <c r="B65" s="200"/>
      <c r="C65" s="213" t="s">
        <v>2840</v>
      </c>
      <c r="E65" s="212"/>
      <c r="F65" s="212"/>
      <c r="G65" s="212"/>
      <c r="H65" s="212"/>
      <c r="I65" s="212"/>
      <c r="J65" s="212"/>
      <c r="K65" s="212"/>
      <c r="L65" s="212"/>
      <c r="M65" s="212"/>
      <c r="N65" s="212"/>
      <c r="O65" s="191"/>
      <c r="P65" s="191"/>
      <c r="Q65" s="191"/>
    </row>
    <row r="66" spans="2:17" s="103" customFormat="1" ht="10.9" customHeight="1" x14ac:dyDescent="0.15">
      <c r="B66" s="190"/>
      <c r="C66" s="214" t="s">
        <v>3368</v>
      </c>
      <c r="E66" s="215"/>
      <c r="F66" s="215"/>
      <c r="G66" s="203" t="str">
        <f t="array" ref="G66">IF(OR(G17:G21="NA"),"NA",+IF(AND(ROUND(G17:G21,1)=0),"si","Vérificar!"))</f>
        <v>si</v>
      </c>
      <c r="H66" s="215"/>
      <c r="I66" s="215"/>
      <c r="J66" s="215"/>
      <c r="K66" s="215"/>
      <c r="L66" s="203" t="str">
        <f t="array" ref="L66">IF(OR(L17:L21="NA"),"NA",+IF(AND(ROUND(L17:L21,1)=0),"si","Vérificar!"))</f>
        <v>si</v>
      </c>
      <c r="M66" s="215"/>
      <c r="N66" s="215"/>
      <c r="O66" s="191"/>
      <c r="P66" s="191"/>
      <c r="Q66" s="191"/>
    </row>
    <row r="67" spans="2:17" s="103" customFormat="1" ht="10.9" customHeight="1" x14ac:dyDescent="0.15">
      <c r="B67" s="190"/>
      <c r="C67" s="214" t="s">
        <v>3369</v>
      </c>
      <c r="E67" s="215"/>
      <c r="F67" s="215"/>
      <c r="G67" s="203" t="str">
        <f t="array" ref="G67">IF(OR(G22:G26="NA"),"NA",IF(AND(ROUND(G22:G26,1)=0),"si","Vérificar!"))</f>
        <v>si</v>
      </c>
      <c r="H67" s="215"/>
      <c r="I67" s="215"/>
      <c r="J67" s="215"/>
      <c r="K67" s="215"/>
      <c r="L67" s="203" t="str">
        <f t="array" ref="L67">IF(OR(L22:L26="NA"),"NA",IF(AND(ROUND(L22:L26,1)=0),"si","Vérificar!"))</f>
        <v>si</v>
      </c>
      <c r="M67" s="215"/>
      <c r="N67" s="215"/>
      <c r="O67" s="191"/>
      <c r="P67" s="191"/>
      <c r="Q67" s="191"/>
    </row>
    <row r="68" spans="2:17" s="103" customFormat="1" ht="10.9" customHeight="1" x14ac:dyDescent="0.15">
      <c r="B68" s="190"/>
      <c r="C68" s="214" t="s">
        <v>3370</v>
      </c>
      <c r="E68" s="215"/>
      <c r="F68" s="215"/>
      <c r="G68" s="203" t="str">
        <f t="array" ref="G68">IF(OR(G36:G40="NA"),"NA",IF(AND(ROUND(G36:G40,1)=0),"si","Vérificar!"))</f>
        <v>si</v>
      </c>
      <c r="H68" s="215"/>
      <c r="I68" s="215"/>
      <c r="J68" s="215"/>
      <c r="K68" s="215"/>
      <c r="L68" s="203" t="str">
        <f t="array" ref="L68">IF(OR(L36:L40="NA"),"NA",IF(AND(ROUND(L36:L40,1)=0),"si","Vérificar!"))</f>
        <v>si</v>
      </c>
      <c r="M68" s="215"/>
      <c r="N68" s="215"/>
      <c r="O68" s="191"/>
      <c r="P68" s="191"/>
      <c r="Q68" s="191"/>
    </row>
    <row r="69" spans="2:17" s="103" customFormat="1" ht="10.9" customHeight="1" x14ac:dyDescent="0.15">
      <c r="B69" s="190"/>
      <c r="C69" s="214" t="s">
        <v>3371</v>
      </c>
      <c r="E69" s="215"/>
      <c r="F69" s="215"/>
      <c r="G69" s="203" t="str">
        <f t="array" ref="G69">IF(OR(G41:G45="NA"),"NA",IF(AND(ROUND(G41:G45,1)=0),"si","Vérificar!"))</f>
        <v>si</v>
      </c>
      <c r="H69" s="215"/>
      <c r="I69" s="215"/>
      <c r="J69" s="215"/>
      <c r="K69" s="215"/>
      <c r="L69" s="203" t="str">
        <f t="array" ref="L69">IF(OR(L41:L45="NA"),"NA",IF(AND(ROUND(L41:L45,1)=0),"si","Vérificar!"))</f>
        <v>si</v>
      </c>
      <c r="M69" s="215"/>
      <c r="N69" s="215"/>
      <c r="O69" s="191"/>
      <c r="P69" s="191"/>
      <c r="Q69" s="191"/>
    </row>
    <row r="70" spans="2:17" s="103" customFormat="1" ht="10.9" hidden="1" customHeight="1" x14ac:dyDescent="0.15">
      <c r="B70" s="200"/>
      <c r="C70" s="213" t="s">
        <v>2661</v>
      </c>
      <c r="E70" s="212"/>
      <c r="F70" s="212"/>
      <c r="G70" s="216"/>
      <c r="H70" s="212"/>
      <c r="I70" s="212"/>
      <c r="J70" s="212"/>
      <c r="K70" s="212"/>
      <c r="L70" s="216"/>
      <c r="M70" s="212"/>
      <c r="N70" s="212"/>
      <c r="O70" s="191"/>
      <c r="P70" s="191"/>
      <c r="Q70" s="191"/>
    </row>
    <row r="71" spans="2:17" s="103" customFormat="1" ht="10.9" hidden="1" customHeight="1" x14ac:dyDescent="0.15">
      <c r="B71" s="190"/>
      <c r="C71" s="214" t="s">
        <v>2682</v>
      </c>
      <c r="E71" s="215"/>
      <c r="F71" s="215"/>
      <c r="G71" s="203" t="str">
        <f>IF(OR(G10="NA",G29="NA"),"NA",IF(ROUND(G10,1)=ROUND(G29,1),"yes","check!"))</f>
        <v>check!</v>
      </c>
      <c r="H71" s="215"/>
      <c r="I71" s="215"/>
      <c r="J71" s="215"/>
      <c r="K71" s="215"/>
      <c r="L71" s="203" t="str">
        <f>IF(OR(L10="NA",L29="NA"),"NA",IF(ROUND(L10,1)=ROUND(L29,1),"yes","check!"))</f>
        <v>check!</v>
      </c>
      <c r="M71" s="215"/>
      <c r="N71" s="215"/>
      <c r="O71" s="191"/>
      <c r="P71" s="191"/>
      <c r="Q71" s="191"/>
    </row>
    <row r="72" spans="2:17" ht="10.5" customHeight="1" x14ac:dyDescent="0.2">
      <c r="B72" s="217"/>
      <c r="C72" s="77"/>
      <c r="D72" s="262"/>
      <c r="E72" s="277"/>
      <c r="F72" s="277"/>
      <c r="G72" s="277"/>
      <c r="H72" s="277"/>
      <c r="I72" s="277"/>
      <c r="J72" s="277"/>
      <c r="K72" s="277"/>
      <c r="L72" s="277"/>
      <c r="M72" s="277"/>
      <c r="N72" s="277"/>
      <c r="O72" s="202"/>
      <c r="P72" s="258"/>
      <c r="Q72" s="258"/>
    </row>
  </sheetData>
  <sheetProtection password="EECE" sheet="1" objects="1" scenarios="1" formatCells="0" formatColumns="0" formatRows="0"/>
  <customSheetViews>
    <customSheetView guid="{C3088B2E-F853-4D7E-B687-C6500891DFCB}" scale="110" showPageBreaks="1" fitToPage="1" printArea="1">
      <pane xSplit="3" ySplit="6" topLeftCell="D7" activePane="bottomRight" state="frozen"/>
      <selection pane="bottomRight"/>
      <pageMargins left="0.47244094488188998" right="0.47244094488188998" top="0.59055118110236204" bottom="0.59055118110236204" header="0.39370078740157499" footer="0.39370078740157499"/>
      <pageSetup scale="81" fitToHeight="0" orientation="landscape" r:id="rId1"/>
      <headerFooter alignWithMargins="0">
        <oddFooter>&amp;L&amp;8&amp;D  &amp;T&amp;R&amp;8March 2014, Version 0.2</oddFooter>
      </headerFooter>
    </customSheetView>
    <customSheetView guid="{F866C9B2-56BF-4FE4-B270-CC8FE15A5892}" scale="110" showPageBreaks="1" fitToPage="1" printArea="1">
      <pane xSplit="2" ySplit="6" topLeftCell="D7" activePane="bottomRight" state="frozen"/>
      <selection pane="bottomRight"/>
      <pageMargins left="0.47244094488188998" right="0.47244094488188998" top="0.59055118110236204" bottom="0.59055118110236204" header="0.39370078740157499" footer="0.39370078740157499"/>
      <pageSetup scale="80" fitToHeight="0" orientation="landscape" r:id="rId2"/>
      <headerFooter alignWithMargins="0">
        <oddFooter>&amp;L&amp;8&amp;D  &amp;T&amp;R&amp;8March 2014, Version 0.2</oddFooter>
      </headerFooter>
    </customSheetView>
    <customSheetView guid="{D66484CB-9D53-43A1-A83D-11534BC40BF6}" scale="110" showPageBreaks="1" fitToPage="1" printArea="1">
      <pane xSplit="3" ySplit="6" topLeftCell="D7" activePane="bottomRight" state="frozen"/>
      <selection pane="bottomRight" activeCell="F15" sqref="F15"/>
      <pageMargins left="0.47244094488188998" right="0.47244094488188998" top="0.59055118110236204" bottom="0.59055118110236204" header="0.39370078740157499" footer="0.39370078740157499"/>
      <pageSetup scale="80" fitToHeight="0" orientation="landscape" r:id="rId3"/>
      <headerFooter alignWithMargins="0">
        <oddFooter>&amp;L&amp;8&amp;D  &amp;T&amp;R&amp;8March 2014, Version 0.2</oddFooter>
      </headerFooter>
    </customSheetView>
  </customSheetViews>
  <mergeCells count="12">
    <mergeCell ref="G1:M1"/>
    <mergeCell ref="F2:N2"/>
    <mergeCell ref="P4:Q4"/>
    <mergeCell ref="K4:K5"/>
    <mergeCell ref="L4:L5"/>
    <mergeCell ref="M4:M5"/>
    <mergeCell ref="J4:J5"/>
    <mergeCell ref="B4:C5"/>
    <mergeCell ref="G3:H3"/>
    <mergeCell ref="E4:H4"/>
    <mergeCell ref="I4:I5"/>
    <mergeCell ref="N3:N5"/>
  </mergeCells>
  <conditionalFormatting sqref="P8:Q45">
    <cfRule type="cellIs" dxfId="58" priority="11" operator="between">
      <formula>-0.1</formula>
      <formula>0.1</formula>
    </cfRule>
    <cfRule type="cellIs" dxfId="57" priority="23" operator="lessThan">
      <formula>-0.1</formula>
    </cfRule>
    <cfRule type="cellIs" dxfId="56" priority="24" operator="greaterThan">
      <formula>0.1</formula>
    </cfRule>
  </conditionalFormatting>
  <conditionalFormatting sqref="E59:N60 E62:N72 E61:F61 M61:N61">
    <cfRule type="containsText" dxfId="55" priority="13" operator="containsText" text="NV">
      <formula>NOT(ISERROR(SEARCH("NV",E59)))</formula>
    </cfRule>
    <cfRule type="containsText" dxfId="54" priority="17" operator="containsText" text="Vérifier">
      <formula>NOT(ISERROR(SEARCH("Vérifier",E59)))</formula>
    </cfRule>
  </conditionalFormatting>
  <conditionalFormatting sqref="G66:G69 G71 L66:L69 L71 M63:M64">
    <cfRule type="containsText" dxfId="53" priority="12" operator="containsText" text="Oui">
      <formula>NOT(ISERROR(SEARCH("Oui",G63)))</formula>
    </cfRule>
  </conditionalFormatting>
  <conditionalFormatting sqref="E49:N56">
    <cfRule type="containsText" dxfId="52" priority="9" operator="containsText" text="NA">
      <formula>NOT(ISERROR(SEARCH("NA",E49)))</formula>
    </cfRule>
    <cfRule type="cellIs" dxfId="51" priority="10" operator="between">
      <formula>-0.1</formula>
      <formula>0.1</formula>
    </cfRule>
  </conditionalFormatting>
  <conditionalFormatting sqref="M63:M64">
    <cfRule type="containsText" dxfId="50" priority="8" operator="containsText" text="NA">
      <formula>NOT(ISERROR(SEARCH("NA",M63)))</formula>
    </cfRule>
  </conditionalFormatting>
  <conditionalFormatting sqref="G66:G71 L66:L71 M63:M64">
    <cfRule type="containsText" dxfId="49" priority="7" operator="containsText" text="NA">
      <formula>NOT(ISERROR(SEARCH("NA",G63)))</formula>
    </cfRule>
  </conditionalFormatting>
  <conditionalFormatting sqref="G61:L61">
    <cfRule type="containsText" dxfId="48" priority="3" operator="containsText" text="verificar">
      <formula>NOT(ISERROR(SEARCH("verificar",G61)))</formula>
    </cfRule>
    <cfRule type="containsText" dxfId="47" priority="4" operator="containsText" text="si">
      <formula>NOT(ISERROR(SEARCH("si",G61)))</formula>
    </cfRule>
    <cfRule type="containsText" dxfId="46" priority="5" operator="containsText" text="NV">
      <formula>NOT(ISERROR(SEARCH("NV",G61)))</formula>
    </cfRule>
    <cfRule type="containsText" dxfId="45" priority="6" operator="containsText" text="check">
      <formula>NOT(ISERROR(SEARCH("check",G61)))</formula>
    </cfRule>
  </conditionalFormatting>
  <conditionalFormatting sqref="G61:M69">
    <cfRule type="containsText" dxfId="44" priority="1" operator="containsText" text="v">
      <formula>NOT(ISERROR(SEARCH("v",G61)))</formula>
    </cfRule>
    <cfRule type="containsText" dxfId="43" priority="2" operator="containsText" text="si">
      <formula>NOT(ISERROR(SEARCH("si",G61)))</formula>
    </cfRule>
  </conditionalFormatting>
  <pageMargins left="0.47244094488188998" right="0.47244094488188998" top="0.59055118110236204" bottom="0.59055118110236204" header="0.39370078740157499" footer="0.39370078740157499"/>
  <pageSetup scale="80" fitToHeight="0" orientation="landscape" r:id="rId4"/>
  <headerFooter alignWithMargins="0">
    <oddFooter>&amp;L&amp;8&amp;D  &amp;T&amp;R&amp;8March 2014, Version 0.2</oddFooter>
  </headerFooter>
  <legacyDrawing r:id="rId5"/>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indexed="52"/>
    <pageSetUpPr fitToPage="1"/>
  </sheetPr>
  <dimension ref="A1:Q117"/>
  <sheetViews>
    <sheetView workbookViewId="0">
      <pane xSplit="4" ySplit="7" topLeftCell="E8" activePane="bottomRight" state="frozen"/>
      <selection activeCell="Q53" sqref="P8:Q53"/>
      <selection pane="topRight" activeCell="Q53" sqref="P8:Q53"/>
      <selection pane="bottomLeft" activeCell="Q53" sqref="P8:Q53"/>
      <selection pane="bottomRight" activeCell="F10" sqref="F10"/>
    </sheetView>
  </sheetViews>
  <sheetFormatPr baseColWidth="10" defaultColWidth="9.140625" defaultRowHeight="12.75" x14ac:dyDescent="0.2"/>
  <cols>
    <col min="1" max="1" width="12.85546875" style="164" hidden="1" customWidth="1"/>
    <col min="2" max="2" width="7.28515625" style="221" customWidth="1"/>
    <col min="3" max="3" width="50.7109375" style="164" customWidth="1"/>
    <col min="4" max="4" width="0.85546875" style="164" customWidth="1"/>
    <col min="5" max="14" width="10" style="164" customWidth="1"/>
    <col min="15" max="15" width="3.28515625" style="164" customWidth="1"/>
    <col min="16" max="17" width="11.7109375" style="164" customWidth="1"/>
    <col min="18" max="18" width="9.140625" style="164" customWidth="1"/>
    <col min="19" max="16384" width="9.140625" style="164"/>
  </cols>
  <sheetData>
    <row r="1" spans="1:17" ht="14.25" x14ac:dyDescent="0.25">
      <c r="B1" s="513" t="str">
        <f>+Coverpage!A1</f>
        <v>GFSM2014_V1.5</v>
      </c>
      <c r="C1" s="514"/>
      <c r="D1" s="515"/>
      <c r="E1" s="516"/>
      <c r="F1" s="517"/>
      <c r="G1" s="771" t="str">
        <f>Reporting_Country_Name</f>
        <v>Colombia</v>
      </c>
      <c r="H1" s="771"/>
      <c r="I1" s="771"/>
      <c r="J1" s="771"/>
      <c r="K1" s="771"/>
      <c r="L1" s="771"/>
      <c r="M1" s="771"/>
      <c r="N1" s="661" t="str">
        <f>Reporting_Country_Code</f>
        <v>233</v>
      </c>
      <c r="O1" s="519"/>
      <c r="P1" s="653" t="s">
        <v>2731</v>
      </c>
      <c r="Q1" s="654"/>
    </row>
    <row r="2" spans="1:17" ht="14.25" x14ac:dyDescent="0.25">
      <c r="B2" s="513" t="s">
        <v>3447</v>
      </c>
      <c r="C2" s="582"/>
      <c r="D2" s="583"/>
      <c r="E2" s="523"/>
      <c r="F2" s="780" t="str">
        <f>"En "&amp;Coverpage!$I$15&amp;" de "&amp;Coverpage!$I$14&amp;" / El año fiscal termina en "&amp;Coverpage!$I$11&amp;" "&amp;Coverpage!$I$12</f>
        <v xml:space="preserve">En Billion de Colombian Pesos (COP) / El año fiscal termina en  </v>
      </c>
      <c r="G2" s="781"/>
      <c r="H2" s="781"/>
      <c r="I2" s="781"/>
      <c r="J2" s="781"/>
      <c r="K2" s="781"/>
      <c r="L2" s="781"/>
      <c r="M2" s="781"/>
      <c r="N2" s="781"/>
      <c r="O2" s="519"/>
      <c r="P2" s="655" t="s">
        <v>2732</v>
      </c>
      <c r="Q2" s="656"/>
    </row>
    <row r="3" spans="1:17" ht="12" customHeight="1" x14ac:dyDescent="0.25">
      <c r="B3" s="524"/>
      <c r="C3" s="525"/>
      <c r="D3" s="526"/>
      <c r="E3" s="527"/>
      <c r="F3" s="528"/>
      <c r="G3" s="784" t="s">
        <v>2726</v>
      </c>
      <c r="H3" s="784"/>
      <c r="I3" s="529" t="str">
        <f>Reporting_Period_Code</f>
        <v>2016</v>
      </c>
      <c r="J3" s="529"/>
      <c r="K3" s="528"/>
      <c r="L3" s="528"/>
      <c r="M3" s="530"/>
      <c r="N3" s="790" t="s">
        <v>2723</v>
      </c>
      <c r="O3" s="531"/>
      <c r="P3" s="168"/>
      <c r="Q3" s="168"/>
    </row>
    <row r="4" spans="1:17" ht="12" customHeight="1" x14ac:dyDescent="0.2">
      <c r="B4" s="794" t="s">
        <v>3440</v>
      </c>
      <c r="C4" s="795"/>
      <c r="D4" s="532"/>
      <c r="E4" s="787" t="s">
        <v>2727</v>
      </c>
      <c r="F4" s="788"/>
      <c r="G4" s="788"/>
      <c r="H4" s="789"/>
      <c r="I4" s="790" t="s">
        <v>2719</v>
      </c>
      <c r="J4" s="790" t="s">
        <v>2720</v>
      </c>
      <c r="K4" s="792" t="s">
        <v>2721</v>
      </c>
      <c r="L4" s="790" t="s">
        <v>2728</v>
      </c>
      <c r="M4" s="793" t="s">
        <v>2722</v>
      </c>
      <c r="N4" s="791"/>
      <c r="O4" s="531"/>
      <c r="P4" s="778" t="s">
        <v>2733</v>
      </c>
      <c r="Q4" s="779"/>
    </row>
    <row r="5" spans="1:17" ht="30" customHeight="1" x14ac:dyDescent="0.2">
      <c r="B5" s="794"/>
      <c r="C5" s="795"/>
      <c r="D5" s="532"/>
      <c r="E5" s="711" t="s">
        <v>2729</v>
      </c>
      <c r="F5" s="712" t="s">
        <v>2813</v>
      </c>
      <c r="G5" s="712" t="s">
        <v>2728</v>
      </c>
      <c r="H5" s="713" t="s">
        <v>2718</v>
      </c>
      <c r="I5" s="791"/>
      <c r="J5" s="791"/>
      <c r="K5" s="792"/>
      <c r="L5" s="791"/>
      <c r="M5" s="793"/>
      <c r="N5" s="791"/>
      <c r="O5" s="531"/>
      <c r="P5" s="668" t="s">
        <v>2734</v>
      </c>
      <c r="Q5" s="669" t="s">
        <v>2735</v>
      </c>
    </row>
    <row r="6" spans="1:17" ht="30" hidden="1" customHeight="1" x14ac:dyDescent="0.2">
      <c r="B6" s="618"/>
      <c r="C6" s="619"/>
      <c r="D6" s="532"/>
      <c r="E6" s="533" t="s">
        <v>1562</v>
      </c>
      <c r="F6" s="534" t="s">
        <v>1563</v>
      </c>
      <c r="G6" s="534" t="s">
        <v>1575</v>
      </c>
      <c r="H6" s="535" t="s">
        <v>634</v>
      </c>
      <c r="I6" s="535" t="s">
        <v>1564</v>
      </c>
      <c r="J6" s="534" t="s">
        <v>1574</v>
      </c>
      <c r="K6" s="535" t="s">
        <v>637</v>
      </c>
      <c r="L6" s="534" t="s">
        <v>1576</v>
      </c>
      <c r="M6" s="574" t="s">
        <v>1565</v>
      </c>
      <c r="N6" s="574" t="s">
        <v>1577</v>
      </c>
      <c r="O6" s="531"/>
      <c r="P6" s="169"/>
      <c r="Q6" s="170"/>
    </row>
    <row r="7" spans="1:17" ht="10.5" customHeight="1" x14ac:dyDescent="0.2">
      <c r="A7" s="143"/>
      <c r="B7" s="536"/>
      <c r="C7" s="537"/>
      <c r="D7" s="537"/>
      <c r="E7" s="538" t="s">
        <v>632</v>
      </c>
      <c r="F7" s="539" t="s">
        <v>633</v>
      </c>
      <c r="G7" s="540" t="s">
        <v>155</v>
      </c>
      <c r="H7" s="539" t="s">
        <v>634</v>
      </c>
      <c r="I7" s="540" t="s">
        <v>635</v>
      </c>
      <c r="J7" s="539" t="s">
        <v>636</v>
      </c>
      <c r="K7" s="540" t="s">
        <v>637</v>
      </c>
      <c r="L7" s="539" t="s">
        <v>156</v>
      </c>
      <c r="M7" s="541" t="s">
        <v>638</v>
      </c>
      <c r="N7" s="541" t="s">
        <v>639</v>
      </c>
      <c r="O7" s="531"/>
      <c r="P7" s="171" t="s">
        <v>640</v>
      </c>
      <c r="Q7" s="172" t="s">
        <v>641</v>
      </c>
    </row>
    <row r="8" spans="1:17" ht="15" customHeight="1" x14ac:dyDescent="0.2">
      <c r="A8" s="143" t="s">
        <v>1814</v>
      </c>
      <c r="B8" s="594" t="s">
        <v>1331</v>
      </c>
      <c r="C8" s="595" t="s">
        <v>3441</v>
      </c>
      <c r="D8" s="640" t="s">
        <v>48</v>
      </c>
      <c r="E8" s="752">
        <f>+IF(ISBLANK(Table6!E22),"",Table6!E22)</f>
        <v>218315.59045801201</v>
      </c>
      <c r="F8" s="752">
        <f>+IF(ISBLANK(Table6!F22),"",Table6!F22)</f>
        <v>6523.0890589999999</v>
      </c>
      <c r="G8" s="752">
        <f>+IF(ISBLANK(Table6!G22),"",Table6!G22)</f>
        <v>-1383.0478985519785</v>
      </c>
      <c r="H8" s="752">
        <f>+IF(ISBLANK(Table6!H22),"",Table6!H22)</f>
        <v>223455.63161846</v>
      </c>
      <c r="I8" s="752">
        <f>+IF(ISBLANK(Table6!I22),"",Table6!I22)</f>
        <v>18814.034330999999</v>
      </c>
      <c r="J8" s="752">
        <f>+IF(ISBLANK(Table6!J22),"",Table6!J22)</f>
        <v>46868.350549365001</v>
      </c>
      <c r="K8" s="752">
        <f>+IF(ISBLANK(Table6!K22),"",Table6!K22)</f>
        <v>86138.03522002</v>
      </c>
      <c r="L8" s="752">
        <f>+IF(ISBLANK(Table6!L22),"",Table6!L22)</f>
        <v>-10931.572936744</v>
      </c>
      <c r="M8" s="752">
        <f>+IF(ISBLANK(Table6!M22),"",Table6!M22)</f>
        <v>364344.47878210101</v>
      </c>
      <c r="N8" s="752">
        <f>+IF(ISBLANK(Table6!N22),"",Table6!N22)</f>
        <v>242269.66594946</v>
      </c>
      <c r="O8" s="651"/>
      <c r="P8" s="292">
        <f t="shared" ref="P8:P45" si="0">IF(OR(H8="NA",E8="NA",F8="NA",G8="NA"),"NA",SUM(H8)-SUM(E8:G8))</f>
        <v>-2.9103830456733704E-11</v>
      </c>
      <c r="Q8" s="293">
        <f t="shared" ref="Q8:Q45" si="1">IF(OR(M8="NA",H8="NA",I8="NA",J8="NA",K8="NA",L8="NA"),"NA",SUM(M8)-SUM(H8:L8))</f>
        <v>5.8207660913467407E-11</v>
      </c>
    </row>
    <row r="9" spans="1:17" ht="15" customHeight="1" x14ac:dyDescent="0.25">
      <c r="A9" s="143" t="s">
        <v>1823</v>
      </c>
      <c r="B9" s="547" t="s">
        <v>1332</v>
      </c>
      <c r="C9" s="601" t="s">
        <v>3442</v>
      </c>
      <c r="D9" s="611" t="s">
        <v>48</v>
      </c>
      <c r="E9" s="498">
        <f>+IF(ISBLANK(Table6!E31),"",Table6!E31)</f>
        <v>208425.980466012</v>
      </c>
      <c r="F9" s="498">
        <f>+IF(ISBLANK(Table6!F31),"",Table6!F31)</f>
        <v>6357.3308269999998</v>
      </c>
      <c r="G9" s="498">
        <f>+IF(ISBLANK(Table6!G31),"",Table6!G31)</f>
        <v>-1383.0478985519785</v>
      </c>
      <c r="H9" s="498">
        <f>+IF(ISBLANK(Table6!H31),"",Table6!H31)</f>
        <v>213400.26339446002</v>
      </c>
      <c r="I9" s="498">
        <f>+IF(ISBLANK(Table6!I31),"",Table6!I31)</f>
        <v>18814.034330999999</v>
      </c>
      <c r="J9" s="498">
        <f>+IF(ISBLANK(Table6!J31),"",Table6!J31)</f>
        <v>46867.756114364995</v>
      </c>
      <c r="K9" s="498">
        <f>+IF(ISBLANK(Table6!K31),"",Table6!K31)</f>
        <v>86137.258016020001</v>
      </c>
      <c r="L9" s="498">
        <f>+IF(ISBLANK(Table6!L31),"",Table6!L31)</f>
        <v>-10931.572936744</v>
      </c>
      <c r="M9" s="498">
        <f>+IF(ISBLANK(Table6!M31),"",Table6!M31)</f>
        <v>354287.73891910102</v>
      </c>
      <c r="N9" s="498">
        <f>+IF(ISBLANK(Table6!N31),"",Table6!N31)</f>
        <v>232214.29772546</v>
      </c>
      <c r="O9" s="546"/>
      <c r="P9" s="178">
        <f t="shared" si="0"/>
        <v>0</v>
      </c>
      <c r="Q9" s="179">
        <f t="shared" si="1"/>
        <v>0</v>
      </c>
    </row>
    <row r="10" spans="1:17" ht="10.35" customHeight="1" x14ac:dyDescent="0.25">
      <c r="A10" s="143" t="s">
        <v>2312</v>
      </c>
      <c r="B10" s="549" t="s">
        <v>1333</v>
      </c>
      <c r="C10" s="602" t="s">
        <v>3348</v>
      </c>
      <c r="D10" s="611" t="s">
        <v>48</v>
      </c>
      <c r="E10" s="89"/>
      <c r="F10" s="89"/>
      <c r="G10" s="498">
        <f>+IF(ISBLANK(Table6!G31),"",Table6!G31)</f>
        <v>-1383.0478985519785</v>
      </c>
      <c r="H10" s="89">
        <f t="shared" ref="H10" si="2">IF(OR(E10="NA",F10="NA",G10="NA"),"NA",IF(AND(E10="",F10="",G10=""),"",SUM(E10:G10)))</f>
        <v>-1383.0478985519785</v>
      </c>
      <c r="I10" s="89"/>
      <c r="J10" s="89"/>
      <c r="K10" s="89"/>
      <c r="L10" s="498">
        <f>+IF(ISBLANK(Table6!L31),"",Table6!L31)</f>
        <v>-10931.572936744</v>
      </c>
      <c r="M10" s="89">
        <f t="shared" ref="M10" si="3">IF(OR(H10="NA",I10="NA",J10="NA",K10="NA",L10="NA"),"NA",IF(AND(H10="",I10="",J10="",K10="",L10=""),"",SUM(H10:L10)))</f>
        <v>-12314.620835295978</v>
      </c>
      <c r="N10" s="89"/>
      <c r="O10" s="546"/>
      <c r="P10" s="178">
        <f t="shared" si="0"/>
        <v>0</v>
      </c>
      <c r="Q10" s="179">
        <f t="shared" si="1"/>
        <v>0</v>
      </c>
    </row>
    <row r="11" spans="1:17" s="271" customFormat="1" ht="10.35" hidden="1" customHeight="1" x14ac:dyDescent="0.25">
      <c r="A11" s="139" t="s">
        <v>2281</v>
      </c>
      <c r="B11" s="549" t="s">
        <v>1334</v>
      </c>
      <c r="C11" s="603" t="s">
        <v>3349</v>
      </c>
      <c r="D11" s="611" t="s">
        <v>48</v>
      </c>
      <c r="E11" s="424" t="s">
        <v>2622</v>
      </c>
      <c r="F11" s="424" t="s">
        <v>2622</v>
      </c>
      <c r="G11" s="424" t="s">
        <v>2622</v>
      </c>
      <c r="H11" s="424" t="s">
        <v>2622</v>
      </c>
      <c r="I11" s="424" t="s">
        <v>2622</v>
      </c>
      <c r="J11" s="424" t="s">
        <v>2622</v>
      </c>
      <c r="K11" s="424" t="s">
        <v>2622</v>
      </c>
      <c r="L11" s="424" t="s">
        <v>2622</v>
      </c>
      <c r="M11" s="424" t="s">
        <v>2622</v>
      </c>
      <c r="N11" s="424" t="s">
        <v>2622</v>
      </c>
      <c r="O11" s="546"/>
      <c r="P11" s="376" t="str">
        <f t="shared" si="0"/>
        <v>NA</v>
      </c>
      <c r="Q11" s="377" t="str">
        <f t="shared" si="1"/>
        <v>NA</v>
      </c>
    </row>
    <row r="12" spans="1:17" s="271" customFormat="1" ht="10.35" hidden="1" customHeight="1" x14ac:dyDescent="0.25">
      <c r="A12" s="139" t="s">
        <v>2282</v>
      </c>
      <c r="B12" s="549" t="s">
        <v>1335</v>
      </c>
      <c r="C12" s="650" t="s">
        <v>3350</v>
      </c>
      <c r="D12" s="611" t="s">
        <v>48</v>
      </c>
      <c r="E12" s="424" t="s">
        <v>2622</v>
      </c>
      <c r="F12" s="424" t="s">
        <v>2622</v>
      </c>
      <c r="G12" s="424" t="s">
        <v>2622</v>
      </c>
      <c r="H12" s="424" t="s">
        <v>2622</v>
      </c>
      <c r="I12" s="424" t="s">
        <v>2622</v>
      </c>
      <c r="J12" s="424" t="s">
        <v>2622</v>
      </c>
      <c r="K12" s="424" t="s">
        <v>2622</v>
      </c>
      <c r="L12" s="424" t="s">
        <v>2622</v>
      </c>
      <c r="M12" s="424" t="s">
        <v>2622</v>
      </c>
      <c r="N12" s="424" t="s">
        <v>2622</v>
      </c>
      <c r="O12" s="546"/>
      <c r="P12" s="376" t="str">
        <f t="shared" si="0"/>
        <v>NA</v>
      </c>
      <c r="Q12" s="377" t="str">
        <f t="shared" si="1"/>
        <v>NA</v>
      </c>
    </row>
    <row r="13" spans="1:17" s="271" customFormat="1" ht="10.35" hidden="1" customHeight="1" x14ac:dyDescent="0.25">
      <c r="A13" s="139" t="s">
        <v>2283</v>
      </c>
      <c r="B13" s="549" t="s">
        <v>1336</v>
      </c>
      <c r="C13" s="650" t="s">
        <v>3351</v>
      </c>
      <c r="D13" s="611" t="s">
        <v>48</v>
      </c>
      <c r="E13" s="424" t="s">
        <v>2622</v>
      </c>
      <c r="F13" s="424" t="s">
        <v>2622</v>
      </c>
      <c r="G13" s="424" t="s">
        <v>2622</v>
      </c>
      <c r="H13" s="424" t="s">
        <v>2622</v>
      </c>
      <c r="I13" s="424" t="s">
        <v>2622</v>
      </c>
      <c r="J13" s="424" t="s">
        <v>2622</v>
      </c>
      <c r="K13" s="424" t="s">
        <v>2622</v>
      </c>
      <c r="L13" s="424" t="s">
        <v>2622</v>
      </c>
      <c r="M13" s="424" t="s">
        <v>2622</v>
      </c>
      <c r="N13" s="424" t="s">
        <v>2622</v>
      </c>
      <c r="O13" s="546"/>
      <c r="P13" s="376" t="str">
        <f t="shared" si="0"/>
        <v>NA</v>
      </c>
      <c r="Q13" s="377" t="str">
        <f t="shared" si="1"/>
        <v>NA</v>
      </c>
    </row>
    <row r="14" spans="1:17" s="271" customFormat="1" ht="10.35" hidden="1" customHeight="1" x14ac:dyDescent="0.25">
      <c r="A14" s="139" t="s">
        <v>2284</v>
      </c>
      <c r="B14" s="549" t="s">
        <v>1337</v>
      </c>
      <c r="C14" s="603" t="s">
        <v>3352</v>
      </c>
      <c r="D14" s="611" t="s">
        <v>48</v>
      </c>
      <c r="E14" s="424" t="s">
        <v>2622</v>
      </c>
      <c r="F14" s="424" t="s">
        <v>2622</v>
      </c>
      <c r="G14" s="424" t="s">
        <v>2622</v>
      </c>
      <c r="H14" s="424" t="s">
        <v>2622</v>
      </c>
      <c r="I14" s="424" t="s">
        <v>2622</v>
      </c>
      <c r="J14" s="424" t="s">
        <v>2622</v>
      </c>
      <c r="K14" s="424" t="s">
        <v>2622</v>
      </c>
      <c r="L14" s="424" t="s">
        <v>2622</v>
      </c>
      <c r="M14" s="424" t="s">
        <v>2622</v>
      </c>
      <c r="N14" s="424" t="s">
        <v>2622</v>
      </c>
      <c r="O14" s="546"/>
      <c r="P14" s="376" t="str">
        <f t="shared" si="0"/>
        <v>NA</v>
      </c>
      <c r="Q14" s="377" t="str">
        <f t="shared" si="1"/>
        <v>NA</v>
      </c>
    </row>
    <row r="15" spans="1:17" s="271" customFormat="1" ht="10.35" hidden="1" customHeight="1" x14ac:dyDescent="0.25">
      <c r="A15" s="139" t="s">
        <v>2285</v>
      </c>
      <c r="B15" s="549" t="s">
        <v>1338</v>
      </c>
      <c r="C15" s="603" t="s">
        <v>3353</v>
      </c>
      <c r="D15" s="611" t="s">
        <v>48</v>
      </c>
      <c r="E15" s="424" t="s">
        <v>2622</v>
      </c>
      <c r="F15" s="424" t="s">
        <v>2622</v>
      </c>
      <c r="G15" s="424" t="s">
        <v>2622</v>
      </c>
      <c r="H15" s="424" t="s">
        <v>2622</v>
      </c>
      <c r="I15" s="424" t="s">
        <v>2622</v>
      </c>
      <c r="J15" s="424" t="s">
        <v>2622</v>
      </c>
      <c r="K15" s="424" t="s">
        <v>2622</v>
      </c>
      <c r="L15" s="424" t="s">
        <v>2622</v>
      </c>
      <c r="M15" s="424" t="s">
        <v>2622</v>
      </c>
      <c r="N15" s="424" t="s">
        <v>2622</v>
      </c>
      <c r="O15" s="546"/>
      <c r="P15" s="376" t="str">
        <f t="shared" si="0"/>
        <v>NA</v>
      </c>
      <c r="Q15" s="377" t="str">
        <f t="shared" si="1"/>
        <v>NA</v>
      </c>
    </row>
    <row r="16" spans="1:17" s="271" customFormat="1" ht="10.35" hidden="1" customHeight="1" x14ac:dyDescent="0.25">
      <c r="A16" s="139" t="s">
        <v>2286</v>
      </c>
      <c r="B16" s="549" t="s">
        <v>1339</v>
      </c>
      <c r="C16" s="603" t="s">
        <v>3354</v>
      </c>
      <c r="D16" s="611" t="s">
        <v>48</v>
      </c>
      <c r="E16" s="424" t="s">
        <v>2622</v>
      </c>
      <c r="F16" s="424" t="s">
        <v>2622</v>
      </c>
      <c r="G16" s="424" t="s">
        <v>2622</v>
      </c>
      <c r="H16" s="424" t="s">
        <v>2622</v>
      </c>
      <c r="I16" s="424" t="s">
        <v>2622</v>
      </c>
      <c r="J16" s="424" t="s">
        <v>2622</v>
      </c>
      <c r="K16" s="424" t="s">
        <v>2622</v>
      </c>
      <c r="L16" s="424" t="s">
        <v>2622</v>
      </c>
      <c r="M16" s="424" t="s">
        <v>2622</v>
      </c>
      <c r="N16" s="424" t="s">
        <v>2622</v>
      </c>
      <c r="O16" s="546"/>
      <c r="P16" s="376" t="str">
        <f t="shared" si="0"/>
        <v>NA</v>
      </c>
      <c r="Q16" s="377" t="str">
        <f t="shared" si="1"/>
        <v>NA</v>
      </c>
    </row>
    <row r="17" spans="1:17" ht="10.35" customHeight="1" x14ac:dyDescent="0.25">
      <c r="A17" s="143" t="s">
        <v>2287</v>
      </c>
      <c r="B17" s="549" t="s">
        <v>1340</v>
      </c>
      <c r="C17" s="602" t="s">
        <v>3355</v>
      </c>
      <c r="D17" s="611" t="s">
        <v>48</v>
      </c>
      <c r="E17" s="89"/>
      <c r="F17" s="89"/>
      <c r="G17" s="473">
        <v>0</v>
      </c>
      <c r="H17" s="89" t="str">
        <f>IF(OR(E17="NA",F17="NA"),"NA",IF(AND(E17="",F17=""),"",SUM(E17:G17)))</f>
        <v/>
      </c>
      <c r="I17" s="89"/>
      <c r="J17" s="89"/>
      <c r="K17" s="89"/>
      <c r="L17" s="473">
        <v>0</v>
      </c>
      <c r="M17" s="89" t="str">
        <f>IF(OR(H17="NA",I17="NA",J17="NA",K17="NA"),"NA",IF(AND(H17="",I17="",J17="",K17=""),"",SUM(H17:L17)))</f>
        <v/>
      </c>
      <c r="N17" s="89"/>
      <c r="O17" s="546"/>
      <c r="P17" s="178">
        <f t="shared" si="0"/>
        <v>0</v>
      </c>
      <c r="Q17" s="179">
        <f t="shared" si="1"/>
        <v>0</v>
      </c>
    </row>
    <row r="18" spans="1:17" ht="10.35" customHeight="1" x14ac:dyDescent="0.25">
      <c r="A18" s="143" t="s">
        <v>2288</v>
      </c>
      <c r="B18" s="549" t="s">
        <v>1341</v>
      </c>
      <c r="C18" s="602" t="s">
        <v>3356</v>
      </c>
      <c r="D18" s="611" t="s">
        <v>48</v>
      </c>
      <c r="E18" s="89"/>
      <c r="F18" s="89"/>
      <c r="G18" s="473">
        <v>0</v>
      </c>
      <c r="H18" s="89" t="str">
        <f t="shared" ref="H18:H21" si="4">IF(OR(E18="NA",F18="NA"),"NA",IF(AND(E18="",F18=""),"",SUM(E18:G18)))</f>
        <v/>
      </c>
      <c r="I18" s="89"/>
      <c r="J18" s="89"/>
      <c r="K18" s="89"/>
      <c r="L18" s="473">
        <v>0</v>
      </c>
      <c r="M18" s="89" t="str">
        <f t="shared" ref="M18:M21" si="5">IF(OR(H18="NA",I18="NA",J18="NA",K18="NA"),"NA",IF(AND(H18="",I18="",J18="",K18=""),"",SUM(H18:L18)))</f>
        <v/>
      </c>
      <c r="N18" s="89"/>
      <c r="O18" s="546"/>
      <c r="P18" s="178">
        <f t="shared" si="0"/>
        <v>0</v>
      </c>
      <c r="Q18" s="179">
        <f t="shared" si="1"/>
        <v>0</v>
      </c>
    </row>
    <row r="19" spans="1:17" ht="10.35" customHeight="1" x14ac:dyDescent="0.25">
      <c r="A19" s="143" t="s">
        <v>2289</v>
      </c>
      <c r="B19" s="549" t="s">
        <v>1342</v>
      </c>
      <c r="C19" s="602" t="s">
        <v>3357</v>
      </c>
      <c r="D19" s="611" t="s">
        <v>48</v>
      </c>
      <c r="E19" s="89"/>
      <c r="F19" s="89"/>
      <c r="G19" s="473">
        <v>0</v>
      </c>
      <c r="H19" s="89" t="str">
        <f t="shared" si="4"/>
        <v/>
      </c>
      <c r="I19" s="89"/>
      <c r="J19" s="89"/>
      <c r="K19" s="89"/>
      <c r="L19" s="473">
        <v>0</v>
      </c>
      <c r="M19" s="89" t="str">
        <f t="shared" si="5"/>
        <v/>
      </c>
      <c r="N19" s="89"/>
      <c r="O19" s="546"/>
      <c r="P19" s="178">
        <f t="shared" si="0"/>
        <v>0</v>
      </c>
      <c r="Q19" s="179">
        <f t="shared" si="1"/>
        <v>0</v>
      </c>
    </row>
    <row r="20" spans="1:17" ht="10.35" customHeight="1" x14ac:dyDescent="0.25">
      <c r="A20" s="143" t="s">
        <v>2290</v>
      </c>
      <c r="B20" s="549" t="s">
        <v>1343</v>
      </c>
      <c r="C20" s="602" t="s">
        <v>3358</v>
      </c>
      <c r="D20" s="611" t="s">
        <v>48</v>
      </c>
      <c r="E20" s="89"/>
      <c r="F20" s="89"/>
      <c r="G20" s="473">
        <v>0</v>
      </c>
      <c r="H20" s="89" t="str">
        <f t="shared" si="4"/>
        <v/>
      </c>
      <c r="I20" s="89"/>
      <c r="J20" s="89"/>
      <c r="K20" s="89"/>
      <c r="L20" s="473">
        <v>0</v>
      </c>
      <c r="M20" s="89" t="str">
        <f t="shared" si="5"/>
        <v/>
      </c>
      <c r="N20" s="89"/>
      <c r="O20" s="546"/>
      <c r="P20" s="178">
        <f t="shared" si="0"/>
        <v>0</v>
      </c>
      <c r="Q20" s="179">
        <f t="shared" si="1"/>
        <v>0</v>
      </c>
    </row>
    <row r="21" spans="1:17" ht="10.35" customHeight="1" x14ac:dyDescent="0.25">
      <c r="A21" s="143" t="s">
        <v>2291</v>
      </c>
      <c r="B21" s="551" t="s">
        <v>1344</v>
      </c>
      <c r="C21" s="605" t="s">
        <v>3359</v>
      </c>
      <c r="D21" s="632" t="s">
        <v>48</v>
      </c>
      <c r="E21" s="146"/>
      <c r="F21" s="146"/>
      <c r="G21" s="474">
        <v>0</v>
      </c>
      <c r="H21" s="146" t="str">
        <f t="shared" si="4"/>
        <v/>
      </c>
      <c r="I21" s="146"/>
      <c r="J21" s="146"/>
      <c r="K21" s="146"/>
      <c r="L21" s="474">
        <v>0</v>
      </c>
      <c r="M21" s="146" t="str">
        <f t="shared" si="5"/>
        <v/>
      </c>
      <c r="N21" s="146"/>
      <c r="O21" s="546"/>
      <c r="P21" s="181">
        <f t="shared" si="0"/>
        <v>0</v>
      </c>
      <c r="Q21" s="182">
        <f t="shared" si="1"/>
        <v>0</v>
      </c>
    </row>
    <row r="22" spans="1:17" ht="15" customHeight="1" x14ac:dyDescent="0.25">
      <c r="A22" s="143" t="s">
        <v>1831</v>
      </c>
      <c r="B22" s="547" t="s">
        <v>1345</v>
      </c>
      <c r="C22" s="601" t="s">
        <v>3443</v>
      </c>
      <c r="D22" s="611" t="s">
        <v>48</v>
      </c>
      <c r="E22" s="498">
        <f>+IF(ISBLANK(Table6!E40),"",Table6!E40)</f>
        <v>9889.6099919999997</v>
      </c>
      <c r="F22" s="498">
        <f>+IF(ISBLANK(Table6!F40),"",Table6!F40)</f>
        <v>165.75823199999999</v>
      </c>
      <c r="G22" s="498">
        <f>+IF(ISBLANK(Table6!G40),"",Table6!G40)</f>
        <v>0</v>
      </c>
      <c r="H22" s="498">
        <f>+IF(ISBLANK(Table6!H40),"",Table6!H40)</f>
        <v>10055.368224</v>
      </c>
      <c r="I22" s="498">
        <f>+IF(ISBLANK(Table6!I40),"",Table6!I40)</f>
        <v>0</v>
      </c>
      <c r="J22" s="498">
        <f>+IF(ISBLANK(Table6!J40),"",Table6!J40)</f>
        <v>0.59443499999999994</v>
      </c>
      <c r="K22" s="498">
        <f>+IF(ISBLANK(Table6!K40),"",Table6!K40)</f>
        <v>0.77720400000000001</v>
      </c>
      <c r="L22" s="498">
        <f>+IF(ISBLANK(Table6!L40),"",Table6!L40)</f>
        <v>0</v>
      </c>
      <c r="M22" s="498">
        <f>+IF(ISBLANK(Table6!M40),"",Table6!M40)</f>
        <v>10056.739862999999</v>
      </c>
      <c r="N22" s="498">
        <f>+IF(ISBLANK(Table6!N40),"",Table6!N40)</f>
        <v>10055.368224</v>
      </c>
      <c r="O22" s="546"/>
      <c r="P22" s="178">
        <f t="shared" si="0"/>
        <v>0</v>
      </c>
      <c r="Q22" s="179">
        <f t="shared" si="1"/>
        <v>-1.8189894035458565E-12</v>
      </c>
    </row>
    <row r="23" spans="1:17" ht="10.35" customHeight="1" x14ac:dyDescent="0.25">
      <c r="A23" s="143" t="s">
        <v>2292</v>
      </c>
      <c r="B23" s="549" t="s">
        <v>1346</v>
      </c>
      <c r="C23" s="602" t="s">
        <v>3348</v>
      </c>
      <c r="D23" s="611" t="s">
        <v>48</v>
      </c>
      <c r="E23" s="89"/>
      <c r="F23" s="89"/>
      <c r="G23" s="473">
        <v>0</v>
      </c>
      <c r="H23" s="89" t="str">
        <f t="shared" ref="H23:H26" si="6">IF(OR(E23="NA",F23="NA"),"NA",IF(AND(E23="",F23=""),"",SUM(E23:G23)))</f>
        <v/>
      </c>
      <c r="I23" s="89"/>
      <c r="J23" s="89"/>
      <c r="K23" s="93"/>
      <c r="L23" s="473">
        <v>0</v>
      </c>
      <c r="M23" s="89" t="str">
        <f t="shared" ref="M23:M26" si="7">IF(OR(H23="NA",I23="NA",J23="NA",K23="NA"),"NA",IF(AND(H23="",I23="",J23="",K23=""),"",SUM(H23:L23)))</f>
        <v/>
      </c>
      <c r="N23" s="89"/>
      <c r="O23" s="546"/>
      <c r="P23" s="178">
        <f t="shared" si="0"/>
        <v>0</v>
      </c>
      <c r="Q23" s="179">
        <f t="shared" si="1"/>
        <v>0</v>
      </c>
    </row>
    <row r="24" spans="1:17" ht="10.35" customHeight="1" x14ac:dyDescent="0.25">
      <c r="A24" s="143" t="s">
        <v>2293</v>
      </c>
      <c r="B24" s="549" t="s">
        <v>1347</v>
      </c>
      <c r="C24" s="602" t="s">
        <v>3361</v>
      </c>
      <c r="D24" s="611" t="s">
        <v>48</v>
      </c>
      <c r="E24" s="89"/>
      <c r="F24" s="89"/>
      <c r="G24" s="473">
        <v>0</v>
      </c>
      <c r="H24" s="89" t="str">
        <f t="shared" si="6"/>
        <v/>
      </c>
      <c r="I24" s="89"/>
      <c r="J24" s="89"/>
      <c r="K24" s="93"/>
      <c r="L24" s="473">
        <v>0</v>
      </c>
      <c r="M24" s="89" t="str">
        <f t="shared" si="7"/>
        <v/>
      </c>
      <c r="N24" s="89"/>
      <c r="O24" s="546"/>
      <c r="P24" s="178">
        <f t="shared" si="0"/>
        <v>0</v>
      </c>
      <c r="Q24" s="179">
        <f t="shared" si="1"/>
        <v>0</v>
      </c>
    </row>
    <row r="25" spans="1:17" ht="10.35" customHeight="1" x14ac:dyDescent="0.25">
      <c r="A25" s="143" t="s">
        <v>2294</v>
      </c>
      <c r="B25" s="549" t="s">
        <v>1348</v>
      </c>
      <c r="C25" s="602" t="s">
        <v>3362</v>
      </c>
      <c r="D25" s="611" t="s">
        <v>48</v>
      </c>
      <c r="E25" s="89"/>
      <c r="F25" s="89"/>
      <c r="G25" s="473">
        <v>0</v>
      </c>
      <c r="H25" s="89" t="str">
        <f t="shared" si="6"/>
        <v/>
      </c>
      <c r="I25" s="89"/>
      <c r="J25" s="89"/>
      <c r="K25" s="93"/>
      <c r="L25" s="473">
        <v>0</v>
      </c>
      <c r="M25" s="89" t="str">
        <f t="shared" si="7"/>
        <v/>
      </c>
      <c r="N25" s="89"/>
      <c r="O25" s="546"/>
      <c r="P25" s="178">
        <f t="shared" si="0"/>
        <v>0</v>
      </c>
      <c r="Q25" s="179">
        <f t="shared" si="1"/>
        <v>0</v>
      </c>
    </row>
    <row r="26" spans="1:17" ht="10.35" customHeight="1" x14ac:dyDescent="0.25">
      <c r="A26" s="143" t="s">
        <v>2295</v>
      </c>
      <c r="B26" s="536" t="s">
        <v>1349</v>
      </c>
      <c r="C26" s="608" t="s">
        <v>3363</v>
      </c>
      <c r="D26" s="623" t="s">
        <v>48</v>
      </c>
      <c r="E26" s="146"/>
      <c r="F26" s="146"/>
      <c r="G26" s="474">
        <v>0</v>
      </c>
      <c r="H26" s="146" t="str">
        <f t="shared" si="6"/>
        <v/>
      </c>
      <c r="I26" s="146"/>
      <c r="J26" s="146"/>
      <c r="K26" s="147"/>
      <c r="L26" s="474">
        <v>0</v>
      </c>
      <c r="M26" s="146" t="str">
        <f t="shared" si="7"/>
        <v/>
      </c>
      <c r="N26" s="146"/>
      <c r="O26" s="546"/>
      <c r="P26" s="188">
        <f t="shared" si="0"/>
        <v>0</v>
      </c>
      <c r="Q26" s="189">
        <f t="shared" si="1"/>
        <v>0</v>
      </c>
    </row>
    <row r="27" spans="1:17" ht="15" customHeight="1" x14ac:dyDescent="0.25">
      <c r="A27" s="418" t="s">
        <v>1840</v>
      </c>
      <c r="B27" s="599" t="s">
        <v>1350</v>
      </c>
      <c r="C27" s="600" t="s">
        <v>3444</v>
      </c>
      <c r="D27" s="632" t="s">
        <v>48</v>
      </c>
      <c r="E27" s="501">
        <f>+IF(ISBLANK(Table6!E49),"",Table6!E49)</f>
        <v>590365.76706300001</v>
      </c>
      <c r="F27" s="501">
        <f>+IF(ISBLANK(Table6!F49),"",Table6!F49)</f>
        <v>2144.6568910000001</v>
      </c>
      <c r="G27" s="501">
        <f>+IF(ISBLANK(Table6!G49),"",Table6!G49)</f>
        <v>-1458.923713000002</v>
      </c>
      <c r="H27" s="501">
        <f>+IF(ISBLANK(Table6!H49),"",Table6!H49)</f>
        <v>591051.50024099997</v>
      </c>
      <c r="I27" s="501">
        <f>+IF(ISBLANK(Table6!I49),"",Table6!I49)</f>
        <v>8303.9416349999992</v>
      </c>
      <c r="J27" s="501">
        <f>+IF(ISBLANK(Table6!J49),"",Table6!J49)</f>
        <v>20337.165942</v>
      </c>
      <c r="K27" s="501">
        <f>+IF(ISBLANK(Table6!K49),"",Table6!K49)</f>
        <v>32590.091732000001</v>
      </c>
      <c r="L27" s="501">
        <f>+IF(ISBLANK(Table6!L49),"",Table6!L49)</f>
        <v>-11046.685869999994</v>
      </c>
      <c r="M27" s="501">
        <f>+IF(ISBLANK(Table6!M49),"",Table6!M49)</f>
        <v>641236.01367999997</v>
      </c>
      <c r="N27" s="501">
        <f>+IF(ISBLANK(Table6!N49),"",Table6!N49)</f>
        <v>599355.44187600003</v>
      </c>
      <c r="O27" s="615"/>
      <c r="P27" s="181">
        <f t="shared" si="0"/>
        <v>0</v>
      </c>
      <c r="Q27" s="182">
        <f t="shared" si="1"/>
        <v>0</v>
      </c>
    </row>
    <row r="28" spans="1:17" ht="15" customHeight="1" x14ac:dyDescent="0.25">
      <c r="A28" s="418" t="s">
        <v>1849</v>
      </c>
      <c r="B28" s="547" t="s">
        <v>1351</v>
      </c>
      <c r="C28" s="601" t="s">
        <v>3445</v>
      </c>
      <c r="D28" s="611" t="s">
        <v>48</v>
      </c>
      <c r="E28" s="498">
        <f>+IF(ISBLANK(Table6!E63),"",Table6!E63)</f>
        <v>455198.61232100002</v>
      </c>
      <c r="F28" s="498">
        <f>+IF(ISBLANK(Table6!F63),"",Table6!F63)</f>
        <v>2144.607528</v>
      </c>
      <c r="G28" s="498">
        <f>+IF(ISBLANK(Table6!G63),"",Table6!G63)</f>
        <v>-1458.923713000002</v>
      </c>
      <c r="H28" s="498">
        <f>+IF(ISBLANK(Table6!H63),"",Table6!H63)</f>
        <v>455884.29613600002</v>
      </c>
      <c r="I28" s="498">
        <f>+IF(ISBLANK(Table6!I63),"",Table6!I63)</f>
        <v>8302.804282000001</v>
      </c>
      <c r="J28" s="498">
        <f>+IF(ISBLANK(Table6!J63),"",Table6!J63)</f>
        <v>19773.927920999999</v>
      </c>
      <c r="K28" s="498">
        <f>+IF(ISBLANK(Table6!K63),"",Table6!K63)</f>
        <v>30618.822182</v>
      </c>
      <c r="L28" s="498">
        <f>+IF(ISBLANK(Table6!L63),"",Table6!L63)</f>
        <v>-11046.685869999994</v>
      </c>
      <c r="M28" s="498">
        <f>+IF(ISBLANK(Table6!M63),"",Table6!M63)</f>
        <v>503533.164651</v>
      </c>
      <c r="N28" s="498">
        <f>+IF(ISBLANK(Table6!N63),"",Table6!N63)</f>
        <v>464187.10041800002</v>
      </c>
      <c r="O28" s="546"/>
      <c r="P28" s="178">
        <f t="shared" si="0"/>
        <v>0</v>
      </c>
      <c r="Q28" s="179">
        <f t="shared" si="1"/>
        <v>0</v>
      </c>
    </row>
    <row r="29" spans="1:17" ht="10.35" customHeight="1" x14ac:dyDescent="0.25">
      <c r="A29" s="143" t="s">
        <v>2296</v>
      </c>
      <c r="B29" s="549" t="s">
        <v>1352</v>
      </c>
      <c r="C29" s="602" t="s">
        <v>3348</v>
      </c>
      <c r="D29" s="611" t="s">
        <v>48</v>
      </c>
      <c r="E29" s="89"/>
      <c r="F29" s="89"/>
      <c r="G29" s="498">
        <f>+IF(ISBLANK(Table6!G63),"",Table6!G63)</f>
        <v>-1458.923713000002</v>
      </c>
      <c r="H29" s="89">
        <f t="shared" ref="H29:H35" si="8">IF(OR(E29="NA",F29="NA",G29="NA"),"NA",IF(AND(E29="",F29="",G29=""),"",SUM(E29:G29)))</f>
        <v>-1458.923713000002</v>
      </c>
      <c r="I29" s="89"/>
      <c r="J29" s="89"/>
      <c r="K29" s="89"/>
      <c r="L29" s="498">
        <f>+IF(ISBLANK(Table6!L63),"",Table6!L63)</f>
        <v>-11046.685869999994</v>
      </c>
      <c r="M29" s="89">
        <f t="shared" ref="M29:M35" si="9">IF(OR(H29="NA",I29="NA",J29="NA",K29="NA",L29="NA"),"NA",IF(AND(H29="",I29="",J29="",K29="",L29=""),"",SUM(H29:L29)))</f>
        <v>-12505.609582999996</v>
      </c>
      <c r="N29" s="89"/>
      <c r="O29" s="546"/>
      <c r="P29" s="178">
        <f t="shared" si="0"/>
        <v>0</v>
      </c>
      <c r="Q29" s="179">
        <f t="shared" si="1"/>
        <v>0</v>
      </c>
    </row>
    <row r="30" spans="1:17" s="271" customFormat="1" ht="10.35" hidden="1" customHeight="1" x14ac:dyDescent="0.25">
      <c r="A30" s="139" t="s">
        <v>2297</v>
      </c>
      <c r="B30" s="549" t="s">
        <v>1353</v>
      </c>
      <c r="C30" s="603" t="s">
        <v>3349</v>
      </c>
      <c r="D30" s="611" t="s">
        <v>48</v>
      </c>
      <c r="E30" s="424" t="s">
        <v>2622</v>
      </c>
      <c r="F30" s="424" t="s">
        <v>2622</v>
      </c>
      <c r="G30" s="424" t="s">
        <v>2622</v>
      </c>
      <c r="H30" s="89" t="str">
        <f t="shared" si="8"/>
        <v>NA</v>
      </c>
      <c r="I30" s="424" t="s">
        <v>2622</v>
      </c>
      <c r="J30" s="424" t="s">
        <v>2622</v>
      </c>
      <c r="K30" s="424" t="s">
        <v>2622</v>
      </c>
      <c r="L30" s="424" t="s">
        <v>2622</v>
      </c>
      <c r="M30" s="89" t="str">
        <f t="shared" si="9"/>
        <v>NA</v>
      </c>
      <c r="N30" s="424" t="s">
        <v>2622</v>
      </c>
      <c r="O30" s="546"/>
      <c r="P30" s="376" t="str">
        <f t="shared" si="0"/>
        <v>NA</v>
      </c>
      <c r="Q30" s="377" t="str">
        <f t="shared" si="1"/>
        <v>NA</v>
      </c>
    </row>
    <row r="31" spans="1:17" s="271" customFormat="1" ht="10.35" hidden="1" customHeight="1" x14ac:dyDescent="0.25">
      <c r="A31" s="139" t="s">
        <v>2298</v>
      </c>
      <c r="B31" s="549" t="s">
        <v>1354</v>
      </c>
      <c r="C31" s="650" t="s">
        <v>3350</v>
      </c>
      <c r="D31" s="611" t="s">
        <v>48</v>
      </c>
      <c r="E31" s="424" t="s">
        <v>2622</v>
      </c>
      <c r="F31" s="424" t="s">
        <v>2622</v>
      </c>
      <c r="G31" s="424" t="s">
        <v>2622</v>
      </c>
      <c r="H31" s="89" t="str">
        <f t="shared" si="8"/>
        <v>NA</v>
      </c>
      <c r="I31" s="424" t="s">
        <v>2622</v>
      </c>
      <c r="J31" s="424" t="s">
        <v>2622</v>
      </c>
      <c r="K31" s="424" t="s">
        <v>2622</v>
      </c>
      <c r="L31" s="424" t="s">
        <v>2622</v>
      </c>
      <c r="M31" s="89" t="str">
        <f t="shared" si="9"/>
        <v>NA</v>
      </c>
      <c r="N31" s="424" t="s">
        <v>2622</v>
      </c>
      <c r="O31" s="546"/>
      <c r="P31" s="376" t="str">
        <f t="shared" si="0"/>
        <v>NA</v>
      </c>
      <c r="Q31" s="377" t="str">
        <f t="shared" si="1"/>
        <v>NA</v>
      </c>
    </row>
    <row r="32" spans="1:17" s="271" customFormat="1" ht="10.35" hidden="1" customHeight="1" x14ac:dyDescent="0.25">
      <c r="A32" s="139" t="s">
        <v>2299</v>
      </c>
      <c r="B32" s="549" t="s">
        <v>1355</v>
      </c>
      <c r="C32" s="650" t="s">
        <v>3351</v>
      </c>
      <c r="D32" s="611" t="s">
        <v>48</v>
      </c>
      <c r="E32" s="424" t="s">
        <v>2622</v>
      </c>
      <c r="F32" s="424" t="s">
        <v>2622</v>
      </c>
      <c r="G32" s="424" t="s">
        <v>2622</v>
      </c>
      <c r="H32" s="89" t="str">
        <f t="shared" si="8"/>
        <v>NA</v>
      </c>
      <c r="I32" s="424" t="s">
        <v>2622</v>
      </c>
      <c r="J32" s="424" t="s">
        <v>2622</v>
      </c>
      <c r="K32" s="424" t="s">
        <v>2622</v>
      </c>
      <c r="L32" s="424" t="s">
        <v>2622</v>
      </c>
      <c r="M32" s="89" t="str">
        <f t="shared" si="9"/>
        <v>NA</v>
      </c>
      <c r="N32" s="424" t="s">
        <v>2622</v>
      </c>
      <c r="O32" s="546"/>
      <c r="P32" s="376" t="str">
        <f t="shared" si="0"/>
        <v>NA</v>
      </c>
      <c r="Q32" s="377" t="str">
        <f t="shared" si="1"/>
        <v>NA</v>
      </c>
    </row>
    <row r="33" spans="1:17" s="271" customFormat="1" ht="10.35" hidden="1" customHeight="1" x14ac:dyDescent="0.25">
      <c r="A33" s="139" t="s">
        <v>2300</v>
      </c>
      <c r="B33" s="549" t="s">
        <v>1356</v>
      </c>
      <c r="C33" s="603" t="s">
        <v>3352</v>
      </c>
      <c r="D33" s="611" t="s">
        <v>48</v>
      </c>
      <c r="E33" s="424" t="s">
        <v>2622</v>
      </c>
      <c r="F33" s="424" t="s">
        <v>2622</v>
      </c>
      <c r="G33" s="424" t="s">
        <v>2622</v>
      </c>
      <c r="H33" s="89" t="str">
        <f t="shared" si="8"/>
        <v>NA</v>
      </c>
      <c r="I33" s="424" t="s">
        <v>2622</v>
      </c>
      <c r="J33" s="424" t="s">
        <v>2622</v>
      </c>
      <c r="K33" s="424" t="s">
        <v>2622</v>
      </c>
      <c r="L33" s="424" t="s">
        <v>2622</v>
      </c>
      <c r="M33" s="89" t="str">
        <f t="shared" si="9"/>
        <v>NA</v>
      </c>
      <c r="N33" s="424" t="s">
        <v>2622</v>
      </c>
      <c r="O33" s="546"/>
      <c r="P33" s="376" t="str">
        <f t="shared" si="0"/>
        <v>NA</v>
      </c>
      <c r="Q33" s="377" t="str">
        <f t="shared" si="1"/>
        <v>NA</v>
      </c>
    </row>
    <row r="34" spans="1:17" s="271" customFormat="1" ht="10.35" hidden="1" customHeight="1" x14ac:dyDescent="0.25">
      <c r="A34" s="139" t="s">
        <v>2301</v>
      </c>
      <c r="B34" s="549" t="s">
        <v>1357</v>
      </c>
      <c r="C34" s="603" t="s">
        <v>3353</v>
      </c>
      <c r="D34" s="611" t="s">
        <v>48</v>
      </c>
      <c r="E34" s="424" t="s">
        <v>2622</v>
      </c>
      <c r="F34" s="424" t="s">
        <v>2622</v>
      </c>
      <c r="G34" s="424" t="s">
        <v>2622</v>
      </c>
      <c r="H34" s="89" t="str">
        <f t="shared" si="8"/>
        <v>NA</v>
      </c>
      <c r="I34" s="424" t="s">
        <v>2622</v>
      </c>
      <c r="J34" s="424" t="s">
        <v>2622</v>
      </c>
      <c r="K34" s="424" t="s">
        <v>2622</v>
      </c>
      <c r="L34" s="424" t="s">
        <v>2622</v>
      </c>
      <c r="M34" s="89" t="str">
        <f t="shared" si="9"/>
        <v>NA</v>
      </c>
      <c r="N34" s="424" t="s">
        <v>2622</v>
      </c>
      <c r="O34" s="546"/>
      <c r="P34" s="376" t="str">
        <f t="shared" si="0"/>
        <v>NA</v>
      </c>
      <c r="Q34" s="377" t="str">
        <f t="shared" si="1"/>
        <v>NA</v>
      </c>
    </row>
    <row r="35" spans="1:17" s="271" customFormat="1" ht="10.35" hidden="1" customHeight="1" x14ac:dyDescent="0.25">
      <c r="A35" s="139" t="s">
        <v>2302</v>
      </c>
      <c r="B35" s="549" t="s">
        <v>1358</v>
      </c>
      <c r="C35" s="603" t="s">
        <v>3354</v>
      </c>
      <c r="D35" s="611" t="s">
        <v>48</v>
      </c>
      <c r="E35" s="424" t="s">
        <v>2622</v>
      </c>
      <c r="F35" s="424" t="s">
        <v>2622</v>
      </c>
      <c r="G35" s="424" t="s">
        <v>2622</v>
      </c>
      <c r="H35" s="89" t="str">
        <f t="shared" si="8"/>
        <v>NA</v>
      </c>
      <c r="I35" s="424" t="s">
        <v>2622</v>
      </c>
      <c r="J35" s="424" t="s">
        <v>2622</v>
      </c>
      <c r="K35" s="424" t="s">
        <v>2622</v>
      </c>
      <c r="L35" s="424" t="s">
        <v>2622</v>
      </c>
      <c r="M35" s="89" t="str">
        <f t="shared" si="9"/>
        <v>NA</v>
      </c>
      <c r="N35" s="424" t="s">
        <v>2622</v>
      </c>
      <c r="O35" s="546"/>
      <c r="P35" s="376" t="str">
        <f t="shared" si="0"/>
        <v>NA</v>
      </c>
      <c r="Q35" s="377" t="str">
        <f t="shared" si="1"/>
        <v>NA</v>
      </c>
    </row>
    <row r="36" spans="1:17" ht="10.35" customHeight="1" x14ac:dyDescent="0.25">
      <c r="A36" s="143" t="s">
        <v>2303</v>
      </c>
      <c r="B36" s="549" t="s">
        <v>1359</v>
      </c>
      <c r="C36" s="602" t="s">
        <v>3355</v>
      </c>
      <c r="D36" s="611" t="s">
        <v>48</v>
      </c>
      <c r="E36" s="89"/>
      <c r="F36" s="89"/>
      <c r="G36" s="473">
        <v>0</v>
      </c>
      <c r="H36" s="89" t="str">
        <f t="shared" ref="H36:H40" si="10">IF(OR(E36="NA",F36="NA"),"NA",IF(AND(E36="",F36=""),"",SUM(E36:G36)))</f>
        <v/>
      </c>
      <c r="I36" s="89"/>
      <c r="J36" s="89"/>
      <c r="K36" s="89"/>
      <c r="L36" s="473">
        <v>0</v>
      </c>
      <c r="M36" s="89" t="str">
        <f t="shared" ref="M36:M40" si="11">IF(OR(H36="NA",I36="NA",J36="NA",K36="NA"),"NA",IF(AND(H36="",I36="",J36="",K36=""),"",SUM(H36:L36)))</f>
        <v/>
      </c>
      <c r="N36" s="89"/>
      <c r="O36" s="546"/>
      <c r="P36" s="178">
        <f t="shared" si="0"/>
        <v>0</v>
      </c>
      <c r="Q36" s="179">
        <f t="shared" si="1"/>
        <v>0</v>
      </c>
    </row>
    <row r="37" spans="1:17" ht="10.35" customHeight="1" x14ac:dyDescent="0.25">
      <c r="A37" s="143" t="s">
        <v>2304</v>
      </c>
      <c r="B37" s="549" t="s">
        <v>1360</v>
      </c>
      <c r="C37" s="602" t="s">
        <v>3356</v>
      </c>
      <c r="D37" s="611" t="s">
        <v>48</v>
      </c>
      <c r="E37" s="89"/>
      <c r="F37" s="89"/>
      <c r="G37" s="473">
        <v>0</v>
      </c>
      <c r="H37" s="89" t="str">
        <f t="shared" si="10"/>
        <v/>
      </c>
      <c r="I37" s="89"/>
      <c r="J37" s="89"/>
      <c r="K37" s="89"/>
      <c r="L37" s="473">
        <v>0</v>
      </c>
      <c r="M37" s="89" t="str">
        <f t="shared" si="11"/>
        <v/>
      </c>
      <c r="N37" s="89"/>
      <c r="O37" s="546"/>
      <c r="P37" s="178">
        <f t="shared" si="0"/>
        <v>0</v>
      </c>
      <c r="Q37" s="179">
        <f t="shared" si="1"/>
        <v>0</v>
      </c>
    </row>
    <row r="38" spans="1:17" ht="10.35" customHeight="1" x14ac:dyDescent="0.25">
      <c r="A38" s="143" t="s">
        <v>2305</v>
      </c>
      <c r="B38" s="549" t="s">
        <v>1361</v>
      </c>
      <c r="C38" s="602" t="s">
        <v>3357</v>
      </c>
      <c r="D38" s="611" t="s">
        <v>48</v>
      </c>
      <c r="E38" s="89"/>
      <c r="F38" s="89"/>
      <c r="G38" s="473">
        <v>0</v>
      </c>
      <c r="H38" s="89" t="str">
        <f t="shared" si="10"/>
        <v/>
      </c>
      <c r="I38" s="89"/>
      <c r="J38" s="89"/>
      <c r="K38" s="89"/>
      <c r="L38" s="473">
        <v>0</v>
      </c>
      <c r="M38" s="89" t="str">
        <f t="shared" si="11"/>
        <v/>
      </c>
      <c r="N38" s="89"/>
      <c r="O38" s="546"/>
      <c r="P38" s="178">
        <f t="shared" si="0"/>
        <v>0</v>
      </c>
      <c r="Q38" s="179">
        <f t="shared" si="1"/>
        <v>0</v>
      </c>
    </row>
    <row r="39" spans="1:17" ht="10.35" customHeight="1" x14ac:dyDescent="0.25">
      <c r="A39" s="143" t="s">
        <v>2306</v>
      </c>
      <c r="B39" s="549" t="s">
        <v>1362</v>
      </c>
      <c r="C39" s="602" t="s">
        <v>3358</v>
      </c>
      <c r="D39" s="611" t="s">
        <v>48</v>
      </c>
      <c r="E39" s="89"/>
      <c r="F39" s="89"/>
      <c r="G39" s="473">
        <v>0</v>
      </c>
      <c r="H39" s="89" t="str">
        <f t="shared" si="10"/>
        <v/>
      </c>
      <c r="I39" s="89"/>
      <c r="J39" s="89"/>
      <c r="K39" s="89"/>
      <c r="L39" s="473">
        <v>0</v>
      </c>
      <c r="M39" s="89" t="str">
        <f t="shared" si="11"/>
        <v/>
      </c>
      <c r="N39" s="89"/>
      <c r="O39" s="546"/>
      <c r="P39" s="178">
        <f t="shared" si="0"/>
        <v>0</v>
      </c>
      <c r="Q39" s="179">
        <f t="shared" si="1"/>
        <v>0</v>
      </c>
    </row>
    <row r="40" spans="1:17" ht="10.35" customHeight="1" x14ac:dyDescent="0.25">
      <c r="A40" s="143" t="s">
        <v>2307</v>
      </c>
      <c r="B40" s="551" t="s">
        <v>1363</v>
      </c>
      <c r="C40" s="605" t="s">
        <v>3359</v>
      </c>
      <c r="D40" s="632" t="s">
        <v>48</v>
      </c>
      <c r="E40" s="146"/>
      <c r="F40" s="146"/>
      <c r="G40" s="474">
        <v>0</v>
      </c>
      <c r="H40" s="146" t="str">
        <f t="shared" si="10"/>
        <v/>
      </c>
      <c r="I40" s="146"/>
      <c r="J40" s="146"/>
      <c r="K40" s="146"/>
      <c r="L40" s="474">
        <v>0</v>
      </c>
      <c r="M40" s="146" t="str">
        <f t="shared" si="11"/>
        <v/>
      </c>
      <c r="N40" s="146"/>
      <c r="O40" s="546"/>
      <c r="P40" s="181">
        <f t="shared" si="0"/>
        <v>0</v>
      </c>
      <c r="Q40" s="182">
        <f t="shared" si="1"/>
        <v>0</v>
      </c>
    </row>
    <row r="41" spans="1:17" ht="15" customHeight="1" x14ac:dyDescent="0.25">
      <c r="A41" s="143" t="s">
        <v>1857</v>
      </c>
      <c r="B41" s="547" t="s">
        <v>1364</v>
      </c>
      <c r="C41" s="601" t="s">
        <v>3446</v>
      </c>
      <c r="D41" s="611" t="s">
        <v>48</v>
      </c>
      <c r="E41" s="498">
        <f>+IF(ISBLANK(Table6!E71),"",Table6!E71)</f>
        <v>135167.15474199998</v>
      </c>
      <c r="F41" s="498">
        <f>+IF(ISBLANK(Table6!F71),"",Table6!F71)</f>
        <v>4.9362999999999997E-2</v>
      </c>
      <c r="G41" s="498">
        <f>+IF(ISBLANK(Table6!G71),"",Table6!G71)</f>
        <v>0</v>
      </c>
      <c r="H41" s="498">
        <f>+IF(ISBLANK(Table6!H71),"",Table6!H71)</f>
        <v>135167.20410500001</v>
      </c>
      <c r="I41" s="498">
        <f>+IF(ISBLANK(Table6!I71),"",Table6!I71)</f>
        <v>1.1373530000000001</v>
      </c>
      <c r="J41" s="498">
        <f>+IF(ISBLANK(Table6!J71),"",Table6!J71)</f>
        <v>563.238021</v>
      </c>
      <c r="K41" s="498">
        <f>+IF(ISBLANK(Table6!K71),"",Table6!K71)</f>
        <v>1971.26955</v>
      </c>
      <c r="L41" s="498">
        <f>+IF(ISBLANK(Table6!L71),"",Table6!L71)</f>
        <v>0</v>
      </c>
      <c r="M41" s="498">
        <f>+IF(ISBLANK(Table6!M71),"",Table6!M71)</f>
        <v>137702.84902899998</v>
      </c>
      <c r="N41" s="498">
        <f>+IF(ISBLANK(Table6!N71),"",Table6!N71)</f>
        <v>135168.34145800001</v>
      </c>
      <c r="O41" s="546"/>
      <c r="P41" s="178">
        <f t="shared" si="0"/>
        <v>2.9103830456733704E-11</v>
      </c>
      <c r="Q41" s="179">
        <f t="shared" si="1"/>
        <v>-2.9103830456733704E-11</v>
      </c>
    </row>
    <row r="42" spans="1:17" ht="10.35" customHeight="1" x14ac:dyDescent="0.25">
      <c r="A42" s="143" t="s">
        <v>2308</v>
      </c>
      <c r="B42" s="549" t="s">
        <v>1365</v>
      </c>
      <c r="C42" s="602" t="s">
        <v>3348</v>
      </c>
      <c r="D42" s="611" t="s">
        <v>48</v>
      </c>
      <c r="E42" s="89"/>
      <c r="F42" s="89"/>
      <c r="G42" s="473">
        <v>0</v>
      </c>
      <c r="H42" s="89" t="str">
        <f t="shared" ref="H42:H45" si="12">IF(OR(E42="NA",F42="NA"),"NA",IF(AND(E42="",F42=""),"",SUM(E42:G42)))</f>
        <v/>
      </c>
      <c r="I42" s="89"/>
      <c r="J42" s="89"/>
      <c r="K42" s="93"/>
      <c r="L42" s="473">
        <v>0</v>
      </c>
      <c r="M42" s="89" t="str">
        <f t="shared" ref="M42:M45" si="13">IF(OR(H42="NA",I42="NA",J42="NA",K42="NA"),"NA",IF(AND(H42="",I42="",J42="",K42=""),"",SUM(H42:L42)))</f>
        <v/>
      </c>
      <c r="N42" s="89"/>
      <c r="O42" s="546"/>
      <c r="P42" s="178">
        <f t="shared" si="0"/>
        <v>0</v>
      </c>
      <c r="Q42" s="179">
        <f t="shared" si="1"/>
        <v>0</v>
      </c>
    </row>
    <row r="43" spans="1:17" ht="10.35" customHeight="1" x14ac:dyDescent="0.25">
      <c r="A43" s="143" t="s">
        <v>2309</v>
      </c>
      <c r="B43" s="549" t="s">
        <v>1366</v>
      </c>
      <c r="C43" s="602" t="s">
        <v>3361</v>
      </c>
      <c r="D43" s="611" t="s">
        <v>48</v>
      </c>
      <c r="E43" s="89"/>
      <c r="F43" s="89"/>
      <c r="G43" s="473">
        <v>0</v>
      </c>
      <c r="H43" s="89" t="str">
        <f t="shared" si="12"/>
        <v/>
      </c>
      <c r="I43" s="89"/>
      <c r="J43" s="89"/>
      <c r="K43" s="93"/>
      <c r="L43" s="473">
        <v>0</v>
      </c>
      <c r="M43" s="89" t="str">
        <f t="shared" si="13"/>
        <v/>
      </c>
      <c r="N43" s="89"/>
      <c r="O43" s="546"/>
      <c r="P43" s="178">
        <f t="shared" si="0"/>
        <v>0</v>
      </c>
      <c r="Q43" s="179">
        <f t="shared" si="1"/>
        <v>0</v>
      </c>
    </row>
    <row r="44" spans="1:17" ht="10.35" customHeight="1" x14ac:dyDescent="0.25">
      <c r="A44" s="143" t="s">
        <v>2310</v>
      </c>
      <c r="B44" s="549" t="s">
        <v>1367</v>
      </c>
      <c r="C44" s="602" t="s">
        <v>3362</v>
      </c>
      <c r="D44" s="611" t="s">
        <v>48</v>
      </c>
      <c r="E44" s="89"/>
      <c r="F44" s="89"/>
      <c r="G44" s="473">
        <v>0</v>
      </c>
      <c r="H44" s="89" t="str">
        <f t="shared" si="12"/>
        <v/>
      </c>
      <c r="I44" s="89"/>
      <c r="J44" s="89"/>
      <c r="K44" s="93"/>
      <c r="L44" s="473">
        <v>0</v>
      </c>
      <c r="M44" s="89" t="str">
        <f t="shared" si="13"/>
        <v/>
      </c>
      <c r="N44" s="89"/>
      <c r="O44" s="546"/>
      <c r="P44" s="178">
        <f t="shared" si="0"/>
        <v>0</v>
      </c>
      <c r="Q44" s="179">
        <f t="shared" si="1"/>
        <v>0</v>
      </c>
    </row>
    <row r="45" spans="1:17" ht="10.35" customHeight="1" x14ac:dyDescent="0.25">
      <c r="A45" s="143" t="s">
        <v>2311</v>
      </c>
      <c r="B45" s="536" t="s">
        <v>1368</v>
      </c>
      <c r="C45" s="608" t="s">
        <v>3363</v>
      </c>
      <c r="D45" s="623" t="s">
        <v>48</v>
      </c>
      <c r="E45" s="146"/>
      <c r="F45" s="146"/>
      <c r="G45" s="474">
        <v>0</v>
      </c>
      <c r="H45" s="146" t="str">
        <f t="shared" si="12"/>
        <v/>
      </c>
      <c r="I45" s="146"/>
      <c r="J45" s="146"/>
      <c r="K45" s="147"/>
      <c r="L45" s="474">
        <v>0</v>
      </c>
      <c r="M45" s="146" t="str">
        <f t="shared" si="13"/>
        <v/>
      </c>
      <c r="N45" s="146"/>
      <c r="O45" s="546"/>
      <c r="P45" s="188">
        <f t="shared" si="0"/>
        <v>0</v>
      </c>
      <c r="Q45" s="189">
        <f t="shared" si="1"/>
        <v>0</v>
      </c>
    </row>
    <row r="46" spans="1:17" ht="10.5" customHeight="1" x14ac:dyDescent="0.2">
      <c r="B46" s="580"/>
      <c r="C46" s="531"/>
      <c r="D46" s="531"/>
      <c r="E46" s="581"/>
      <c r="F46" s="581"/>
      <c r="G46" s="581"/>
      <c r="H46" s="581"/>
      <c r="I46" s="581"/>
      <c r="J46" s="581"/>
      <c r="K46" s="581"/>
      <c r="L46" s="581"/>
      <c r="M46" s="581"/>
      <c r="N46" s="581"/>
      <c r="O46" s="616"/>
      <c r="P46" s="258"/>
      <c r="Q46" s="258"/>
    </row>
    <row r="47" spans="1:17" s="279" customFormat="1" ht="15" customHeight="1" x14ac:dyDescent="0.2">
      <c r="A47" s="444"/>
      <c r="B47" s="272" t="s">
        <v>3455</v>
      </c>
      <c r="C47" s="284"/>
      <c r="D47" s="284"/>
      <c r="E47" s="285"/>
      <c r="F47" s="285"/>
      <c r="G47" s="285"/>
      <c r="H47" s="285"/>
      <c r="I47" s="285"/>
      <c r="J47" s="285"/>
      <c r="K47" s="285"/>
      <c r="L47" s="285"/>
      <c r="M47" s="285"/>
      <c r="N47" s="445"/>
      <c r="O47" s="446"/>
      <c r="P47" s="280"/>
      <c r="Q47" s="280"/>
    </row>
    <row r="48" spans="1:17" ht="12.95" customHeight="1" x14ac:dyDescent="0.2">
      <c r="B48" s="200" t="s">
        <v>2776</v>
      </c>
      <c r="C48" s="103"/>
      <c r="D48" s="103" t="s">
        <v>48</v>
      </c>
      <c r="E48" s="242"/>
      <c r="F48" s="242"/>
      <c r="G48" s="242"/>
      <c r="H48" s="242"/>
      <c r="I48" s="242"/>
      <c r="J48" s="242"/>
      <c r="K48" s="242"/>
      <c r="L48" s="242"/>
      <c r="M48" s="242"/>
      <c r="N48" s="242"/>
      <c r="O48" s="202"/>
      <c r="P48" s="258"/>
      <c r="Q48" s="258"/>
    </row>
    <row r="49" spans="2:17" ht="10.35" customHeight="1" x14ac:dyDescent="0.2">
      <c r="B49" s="190"/>
      <c r="C49" s="103" t="s">
        <v>919</v>
      </c>
      <c r="D49" s="103" t="s">
        <v>48</v>
      </c>
      <c r="E49" s="243">
        <f t="shared" ref="E49:N49" si="14">IF(OR(E8="NA",E9="NA",E22="NA"),"NA",-SUM(E8)+SUM(E9)+SUM(E22))</f>
        <v>-1.2732925824820995E-11</v>
      </c>
      <c r="F49" s="243">
        <f t="shared" si="14"/>
        <v>-1.4210854715202004E-13</v>
      </c>
      <c r="G49" s="243">
        <f t="shared" si="14"/>
        <v>0</v>
      </c>
      <c r="H49" s="243">
        <f t="shared" si="14"/>
        <v>2.3646862246096134E-11</v>
      </c>
      <c r="I49" s="243">
        <f t="shared" si="14"/>
        <v>0</v>
      </c>
      <c r="J49" s="243">
        <f t="shared" si="14"/>
        <v>-6.3423710727761318E-12</v>
      </c>
      <c r="K49" s="243">
        <f t="shared" si="14"/>
        <v>1.8356427489152338E-12</v>
      </c>
      <c r="L49" s="243">
        <f t="shared" si="14"/>
        <v>0</v>
      </c>
      <c r="M49" s="243">
        <f t="shared" si="14"/>
        <v>3.637978807091713E-12</v>
      </c>
      <c r="N49" s="243">
        <f t="shared" si="14"/>
        <v>-5.4569682106375694E-12</v>
      </c>
      <c r="O49" s="202"/>
      <c r="P49" s="258"/>
      <c r="Q49" s="258"/>
    </row>
    <row r="50" spans="2:17" ht="10.35" customHeight="1" x14ac:dyDescent="0.2">
      <c r="B50" s="233"/>
      <c r="C50" s="76" t="s">
        <v>920</v>
      </c>
      <c r="D50" s="76" t="s">
        <v>48</v>
      </c>
      <c r="E50" s="243">
        <f t="shared" ref="E50:N50" si="15">IF(OR(E9="NA",E10="NA",E17="NA",E18="NA",E19="NA",E20="NA",E21="NA"),"NA",-SUM(E9)+SUM(E10)+SUM(E17)+SUM(E18)+SUM(E19)+SUM(E20)+SUM(E21))</f>
        <v>-208425.980466012</v>
      </c>
      <c r="F50" s="243">
        <f t="shared" si="15"/>
        <v>-6357.3308269999998</v>
      </c>
      <c r="G50" s="243">
        <f t="shared" si="15"/>
        <v>0</v>
      </c>
      <c r="H50" s="243">
        <f t="shared" si="15"/>
        <v>-214783.311293012</v>
      </c>
      <c r="I50" s="243">
        <f t="shared" si="15"/>
        <v>-18814.034330999999</v>
      </c>
      <c r="J50" s="243">
        <f t="shared" si="15"/>
        <v>-46867.756114364995</v>
      </c>
      <c r="K50" s="243">
        <f t="shared" si="15"/>
        <v>-86137.258016020001</v>
      </c>
      <c r="L50" s="243">
        <f t="shared" si="15"/>
        <v>0</v>
      </c>
      <c r="M50" s="243">
        <f t="shared" si="15"/>
        <v>-366602.35975439701</v>
      </c>
      <c r="N50" s="243">
        <f t="shared" si="15"/>
        <v>-232214.29772546</v>
      </c>
      <c r="O50" s="202"/>
      <c r="P50" s="258"/>
      <c r="Q50" s="258"/>
    </row>
    <row r="51" spans="2:17" ht="10.35" customHeight="1" x14ac:dyDescent="0.2">
      <c r="B51" s="233"/>
      <c r="C51" s="76" t="s">
        <v>921</v>
      </c>
      <c r="D51" s="76" t="s">
        <v>48</v>
      </c>
      <c r="E51" s="243">
        <f t="shared" ref="E51:N51" si="16">IF(OR(E22="NA",E23="NA",E24="NA",E25="NA",E26="NA"),"NA",-SUM(E22)+SUM(E23)+SUM(E24)+SUM(E25)+SUM(E26))</f>
        <v>-9889.6099919999997</v>
      </c>
      <c r="F51" s="243">
        <f t="shared" si="16"/>
        <v>-165.75823199999999</v>
      </c>
      <c r="G51" s="243">
        <f t="shared" si="16"/>
        <v>0</v>
      </c>
      <c r="H51" s="243">
        <f t="shared" si="16"/>
        <v>-10055.368224</v>
      </c>
      <c r="I51" s="243">
        <f t="shared" si="16"/>
        <v>0</v>
      </c>
      <c r="J51" s="243">
        <f t="shared" si="16"/>
        <v>-0.59443499999999994</v>
      </c>
      <c r="K51" s="243">
        <f t="shared" si="16"/>
        <v>-0.77720400000000001</v>
      </c>
      <c r="L51" s="243">
        <f t="shared" si="16"/>
        <v>0</v>
      </c>
      <c r="M51" s="243">
        <f t="shared" si="16"/>
        <v>-10056.739862999999</v>
      </c>
      <c r="N51" s="243">
        <f t="shared" si="16"/>
        <v>-10055.368224</v>
      </c>
      <c r="O51" s="202"/>
      <c r="P51" s="258"/>
      <c r="Q51" s="258"/>
    </row>
    <row r="52" spans="2:17" ht="10.35" hidden="1" customHeight="1" x14ac:dyDescent="0.2">
      <c r="B52" s="233"/>
      <c r="C52" s="76" t="s">
        <v>925</v>
      </c>
      <c r="D52" s="76"/>
      <c r="E52" s="243" t="str">
        <f t="shared" ref="E52:N52" si="17">IF(OR(E10="NA",E11="NA",E14="NA",E15="NA",E16="NA"),"NA",-SUM(E10)+SUM(E11)+SUM(E14)+SUM(E15)+SUM(E16))</f>
        <v>NA</v>
      </c>
      <c r="F52" s="243" t="str">
        <f t="shared" si="17"/>
        <v>NA</v>
      </c>
      <c r="G52" s="243" t="str">
        <f t="shared" si="17"/>
        <v>NA</v>
      </c>
      <c r="H52" s="243" t="str">
        <f t="shared" si="17"/>
        <v>NA</v>
      </c>
      <c r="I52" s="243" t="str">
        <f t="shared" si="17"/>
        <v>NA</v>
      </c>
      <c r="J52" s="243" t="str">
        <f t="shared" si="17"/>
        <v>NA</v>
      </c>
      <c r="K52" s="243" t="str">
        <f t="shared" si="17"/>
        <v>NA</v>
      </c>
      <c r="L52" s="243" t="str">
        <f t="shared" si="17"/>
        <v>NA</v>
      </c>
      <c r="M52" s="243" t="str">
        <f t="shared" si="17"/>
        <v>NA</v>
      </c>
      <c r="N52" s="243" t="str">
        <f t="shared" si="17"/>
        <v>NA</v>
      </c>
      <c r="O52" s="202"/>
      <c r="P52" s="258"/>
      <c r="Q52" s="258"/>
    </row>
    <row r="53" spans="2:17" ht="10.35" hidden="1" customHeight="1" x14ac:dyDescent="0.2">
      <c r="B53" s="233"/>
      <c r="C53" s="140" t="s">
        <v>926</v>
      </c>
      <c r="D53" s="140"/>
      <c r="E53" s="244" t="str">
        <f t="shared" ref="E53:N53" si="18">IF(OR(E11="NA",E12="NA",E13="NA"),"NA",-SUM(E11)+SUM(E12)+SUM(E13))</f>
        <v>NA</v>
      </c>
      <c r="F53" s="244" t="str">
        <f t="shared" si="18"/>
        <v>NA</v>
      </c>
      <c r="G53" s="244" t="str">
        <f t="shared" si="18"/>
        <v>NA</v>
      </c>
      <c r="H53" s="244" t="str">
        <f t="shared" si="18"/>
        <v>NA</v>
      </c>
      <c r="I53" s="244" t="str">
        <f t="shared" si="18"/>
        <v>NA</v>
      </c>
      <c r="J53" s="244" t="str">
        <f t="shared" si="18"/>
        <v>NA</v>
      </c>
      <c r="K53" s="244" t="str">
        <f t="shared" si="18"/>
        <v>NA</v>
      </c>
      <c r="L53" s="244" t="str">
        <f t="shared" si="18"/>
        <v>NA</v>
      </c>
      <c r="M53" s="244" t="str">
        <f t="shared" si="18"/>
        <v>NA</v>
      </c>
      <c r="N53" s="244" t="str">
        <f t="shared" si="18"/>
        <v>NA</v>
      </c>
      <c r="O53" s="202"/>
      <c r="P53" s="258"/>
      <c r="Q53" s="258"/>
    </row>
    <row r="54" spans="2:17" ht="10.35" customHeight="1" x14ac:dyDescent="0.2">
      <c r="B54" s="190"/>
      <c r="C54" s="103" t="s">
        <v>922</v>
      </c>
      <c r="D54" s="103" t="s">
        <v>48</v>
      </c>
      <c r="E54" s="243">
        <f t="shared" ref="E54:N54" si="19">IF(OR(E27="NA",E28="NA",E41="NA"),"NA",-SUM(E27)+SUM(E28)+SUM(E41))</f>
        <v>0</v>
      </c>
      <c r="F54" s="243">
        <f t="shared" si="19"/>
        <v>-8.486961133868931E-14</v>
      </c>
      <c r="G54" s="243">
        <f t="shared" si="19"/>
        <v>0</v>
      </c>
      <c r="H54" s="243">
        <f t="shared" si="19"/>
        <v>5.8207660913467407E-11</v>
      </c>
      <c r="I54" s="243">
        <f t="shared" si="19"/>
        <v>1.7434942378713458E-12</v>
      </c>
      <c r="J54" s="243">
        <f t="shared" si="19"/>
        <v>-1.0231815394945443E-12</v>
      </c>
      <c r="K54" s="243">
        <f t="shared" si="19"/>
        <v>-9.0949470177292824E-13</v>
      </c>
      <c r="L54" s="243">
        <f t="shared" si="19"/>
        <v>0</v>
      </c>
      <c r="M54" s="243">
        <f t="shared" si="19"/>
        <v>0</v>
      </c>
      <c r="N54" s="243">
        <f t="shared" si="19"/>
        <v>0</v>
      </c>
      <c r="O54" s="202"/>
      <c r="P54" s="258"/>
      <c r="Q54" s="258"/>
    </row>
    <row r="55" spans="2:17" ht="10.35" customHeight="1" x14ac:dyDescent="0.2">
      <c r="B55" s="190"/>
      <c r="C55" s="76" t="s">
        <v>923</v>
      </c>
      <c r="D55" s="103" t="s">
        <v>48</v>
      </c>
      <c r="E55" s="243">
        <f t="shared" ref="E55:N55" si="20">IF(OR(E28="NA",E29="NA",E36="NA",E37="NA",E38="NA",E39="NA",E40="NA"),"NA",-SUM(E28)+SUM(E29)+SUM(E36)+SUM(E37)+SUM(E38)+SUM(E39)+SUM(E40))</f>
        <v>-455198.61232100002</v>
      </c>
      <c r="F55" s="243">
        <f t="shared" si="20"/>
        <v>-2144.607528</v>
      </c>
      <c r="G55" s="243">
        <f t="shared" si="20"/>
        <v>0</v>
      </c>
      <c r="H55" s="243">
        <f t="shared" si="20"/>
        <v>-457343.21984900004</v>
      </c>
      <c r="I55" s="243">
        <f t="shared" si="20"/>
        <v>-8302.804282000001</v>
      </c>
      <c r="J55" s="243">
        <f t="shared" si="20"/>
        <v>-19773.927920999999</v>
      </c>
      <c r="K55" s="243">
        <f t="shared" si="20"/>
        <v>-30618.822182</v>
      </c>
      <c r="L55" s="243">
        <f t="shared" si="20"/>
        <v>0</v>
      </c>
      <c r="M55" s="243">
        <f t="shared" si="20"/>
        <v>-516038.77423400001</v>
      </c>
      <c r="N55" s="243">
        <f t="shared" si="20"/>
        <v>-464187.10041800002</v>
      </c>
      <c r="O55" s="202"/>
      <c r="P55" s="258"/>
      <c r="Q55" s="258"/>
    </row>
    <row r="56" spans="2:17" ht="10.35" customHeight="1" x14ac:dyDescent="0.2">
      <c r="B56" s="233"/>
      <c r="C56" s="76" t="s">
        <v>924</v>
      </c>
      <c r="D56" s="76" t="s">
        <v>48</v>
      </c>
      <c r="E56" s="243">
        <f t="shared" ref="E56:N56" si="21">IF(OR(E41="NA",E42="NA",E43="NA",E44="NA",E45="NA"),"NA",-SUM(E41)+SUM(E42)+SUM(E43)+SUM(E44)+SUM(E45))</f>
        <v>-135167.15474199998</v>
      </c>
      <c r="F56" s="243">
        <f t="shared" si="21"/>
        <v>-4.9362999999999997E-2</v>
      </c>
      <c r="G56" s="243">
        <f t="shared" si="21"/>
        <v>0</v>
      </c>
      <c r="H56" s="243">
        <f t="shared" si="21"/>
        <v>-135167.20410500001</v>
      </c>
      <c r="I56" s="243">
        <f t="shared" si="21"/>
        <v>-1.1373530000000001</v>
      </c>
      <c r="J56" s="243">
        <f t="shared" si="21"/>
        <v>-563.238021</v>
      </c>
      <c r="K56" s="243">
        <f t="shared" si="21"/>
        <v>-1971.26955</v>
      </c>
      <c r="L56" s="243">
        <f t="shared" si="21"/>
        <v>0</v>
      </c>
      <c r="M56" s="243">
        <f t="shared" si="21"/>
        <v>-137702.84902899998</v>
      </c>
      <c r="N56" s="243">
        <f t="shared" si="21"/>
        <v>-135168.34145800001</v>
      </c>
      <c r="O56" s="202"/>
      <c r="P56" s="258"/>
      <c r="Q56" s="258"/>
    </row>
    <row r="57" spans="2:17" ht="10.35" hidden="1" customHeight="1" x14ac:dyDescent="0.2">
      <c r="B57" s="233"/>
      <c r="C57" s="136" t="s">
        <v>988</v>
      </c>
      <c r="D57" s="76"/>
      <c r="E57" s="243" t="str">
        <f t="shared" ref="E57:N57" si="22">IF(OR(E29="NA",E30="NA",E33="NA",E34="NA",E35="NA"),"NA",-SUM(E29)+SUM(E30)+SUM(E33)+SUM(E34)+SUM(E35))</f>
        <v>NA</v>
      </c>
      <c r="F57" s="243" t="str">
        <f t="shared" si="22"/>
        <v>NA</v>
      </c>
      <c r="G57" s="243" t="str">
        <f t="shared" si="22"/>
        <v>NA</v>
      </c>
      <c r="H57" s="243" t="str">
        <f t="shared" si="22"/>
        <v>NA</v>
      </c>
      <c r="I57" s="243" t="str">
        <f t="shared" si="22"/>
        <v>NA</v>
      </c>
      <c r="J57" s="243" t="str">
        <f t="shared" si="22"/>
        <v>NA</v>
      </c>
      <c r="K57" s="243" t="str">
        <f t="shared" si="22"/>
        <v>NA</v>
      </c>
      <c r="L57" s="243" t="str">
        <f t="shared" si="22"/>
        <v>NA</v>
      </c>
      <c r="M57" s="243" t="str">
        <f t="shared" si="22"/>
        <v>NA</v>
      </c>
      <c r="N57" s="243" t="str">
        <f t="shared" si="22"/>
        <v>NA</v>
      </c>
      <c r="O57" s="202"/>
      <c r="P57" s="258"/>
      <c r="Q57" s="258"/>
    </row>
    <row r="58" spans="2:17" ht="10.35" hidden="1" customHeight="1" x14ac:dyDescent="0.2">
      <c r="B58" s="204"/>
      <c r="C58" s="208" t="s">
        <v>989</v>
      </c>
      <c r="D58" s="140"/>
      <c r="E58" s="244" t="str">
        <f t="shared" ref="E58:N58" si="23">IF(OR(E30="NA",E31="NA",E32="NA"),"NA",-SUM(E30)+SUM(E31)+SUM(E32))</f>
        <v>NA</v>
      </c>
      <c r="F58" s="244" t="str">
        <f t="shared" si="23"/>
        <v>NA</v>
      </c>
      <c r="G58" s="244" t="str">
        <f t="shared" si="23"/>
        <v>NA</v>
      </c>
      <c r="H58" s="244" t="str">
        <f t="shared" si="23"/>
        <v>NA</v>
      </c>
      <c r="I58" s="244" t="str">
        <f t="shared" si="23"/>
        <v>NA</v>
      </c>
      <c r="J58" s="244" t="str">
        <f t="shared" si="23"/>
        <v>NA</v>
      </c>
      <c r="K58" s="244" t="str">
        <f t="shared" si="23"/>
        <v>NA</v>
      </c>
      <c r="L58" s="244" t="str">
        <f t="shared" si="23"/>
        <v>NA</v>
      </c>
      <c r="M58" s="244" t="str">
        <f t="shared" si="23"/>
        <v>NA</v>
      </c>
      <c r="N58" s="244" t="str">
        <f t="shared" si="23"/>
        <v>NA</v>
      </c>
      <c r="O58" s="202"/>
      <c r="P58" s="258"/>
      <c r="Q58" s="258"/>
    </row>
    <row r="59" spans="2:17" s="103" customFormat="1" ht="10.9" customHeight="1" x14ac:dyDescent="0.15">
      <c r="B59" s="200" t="s">
        <v>2777</v>
      </c>
      <c r="E59" s="212"/>
      <c r="F59" s="212"/>
      <c r="G59" s="212"/>
      <c r="H59" s="212"/>
      <c r="I59" s="212"/>
      <c r="J59" s="212"/>
      <c r="K59" s="212"/>
      <c r="L59" s="212"/>
      <c r="M59" s="212"/>
      <c r="N59" s="212"/>
      <c r="O59" s="191"/>
      <c r="P59" s="191"/>
      <c r="Q59" s="191"/>
    </row>
    <row r="60" spans="2:17" s="103" customFormat="1" ht="10.9" customHeight="1" x14ac:dyDescent="0.15">
      <c r="B60" s="200"/>
      <c r="C60" s="213" t="s">
        <v>2778</v>
      </c>
      <c r="E60" s="212"/>
      <c r="F60" s="212"/>
      <c r="G60" s="212"/>
      <c r="H60" s="212"/>
      <c r="I60" s="212"/>
      <c r="J60" s="212"/>
      <c r="K60" s="212"/>
      <c r="L60" s="212"/>
      <c r="M60" s="212"/>
      <c r="N60" s="212"/>
      <c r="O60" s="191"/>
      <c r="P60" s="191"/>
      <c r="Q60" s="191"/>
    </row>
    <row r="61" spans="2:17" s="103" customFormat="1" ht="10.9" customHeight="1" x14ac:dyDescent="0.15">
      <c r="B61" s="190"/>
      <c r="C61" s="214" t="s">
        <v>3448</v>
      </c>
      <c r="E61" s="215"/>
      <c r="F61" s="215"/>
      <c r="G61" s="203" t="str">
        <f>IF(OR(G1="NA",G20="NA"),"NA",IF(ROUND((SUM(G1)-SUM(G20)),1)=0,"si","verificar!"))</f>
        <v>si</v>
      </c>
      <c r="H61" s="741"/>
      <c r="I61" s="741"/>
      <c r="J61" s="741"/>
      <c r="K61" s="741"/>
      <c r="L61" s="203" t="str">
        <f>IF(OR(L1="NA",L20="NA"),"NA",IF(ROUND((SUM(L1)-SUM(L20)),1)=0,"si","verificar!"))</f>
        <v>si</v>
      </c>
      <c r="M61" s="215"/>
      <c r="N61" s="215"/>
      <c r="O61" s="191"/>
      <c r="P61" s="191"/>
      <c r="Q61" s="191"/>
    </row>
    <row r="62" spans="2:17" s="103" customFormat="1" ht="9.75" customHeight="1" x14ac:dyDescent="0.15">
      <c r="B62" s="200"/>
      <c r="C62" s="213" t="s">
        <v>2959</v>
      </c>
      <c r="E62" s="212"/>
      <c r="F62" s="212"/>
      <c r="G62" s="212"/>
      <c r="H62" s="212"/>
      <c r="I62" s="212"/>
      <c r="J62" s="212"/>
      <c r="K62" s="212"/>
      <c r="L62" s="212"/>
      <c r="M62" s="212"/>
      <c r="N62" s="212"/>
      <c r="O62" s="191"/>
      <c r="P62" s="191"/>
      <c r="Q62" s="191"/>
    </row>
    <row r="63" spans="2:17" s="257" customFormat="1" ht="9.75" customHeight="1" x14ac:dyDescent="0.15">
      <c r="B63" s="190"/>
      <c r="C63" s="214" t="s">
        <v>3449</v>
      </c>
      <c r="D63" s="103"/>
      <c r="E63" s="215"/>
      <c r="F63" s="215"/>
      <c r="G63" s="215"/>
      <c r="H63" s="215"/>
      <c r="I63" s="215"/>
      <c r="J63" s="215"/>
      <c r="K63" s="215"/>
      <c r="L63" s="215"/>
      <c r="M63" s="203" t="str">
        <f t="array" ref="M63">IF(OR(M10="NA"),"NA",IF(ISNUMBER(M10),IF(ROUND(M10,1)&lt;0.1,"si","Vérificar!"),"Vérificar!"))</f>
        <v>si</v>
      </c>
      <c r="N63" s="215"/>
      <c r="O63" s="191"/>
      <c r="P63" s="191"/>
      <c r="Q63" s="267"/>
    </row>
    <row r="64" spans="2:17" s="257" customFormat="1" ht="9.75" customHeight="1" x14ac:dyDescent="0.15">
      <c r="B64" s="190"/>
      <c r="C64" s="214" t="s">
        <v>3450</v>
      </c>
      <c r="D64" s="103"/>
      <c r="E64" s="215"/>
      <c r="F64" s="215"/>
      <c r="G64" s="215"/>
      <c r="H64" s="215"/>
      <c r="I64" s="215"/>
      <c r="J64" s="215"/>
      <c r="K64" s="215"/>
      <c r="L64" s="215"/>
      <c r="M64" s="203" t="str">
        <f t="array" ref="M64">IF(OR(M29="NA"),"NA",IF(ISNUMBER(M29),IF(ROUND(M29,1)&lt;0.1,"si","Vérificar!"),"Vérificar!"))</f>
        <v>si</v>
      </c>
      <c r="N64" s="215"/>
      <c r="O64" s="191"/>
      <c r="P64" s="191"/>
      <c r="Q64" s="267"/>
    </row>
    <row r="65" spans="2:17" s="103" customFormat="1" ht="10.9" customHeight="1" x14ac:dyDescent="0.15">
      <c r="B65" s="200"/>
      <c r="C65" s="213" t="s">
        <v>2840</v>
      </c>
      <c r="E65" s="212"/>
      <c r="F65" s="212"/>
      <c r="G65" s="212"/>
      <c r="H65" s="212"/>
      <c r="I65" s="212"/>
      <c r="J65" s="212"/>
      <c r="K65" s="212"/>
      <c r="L65" s="212"/>
      <c r="M65" s="212"/>
      <c r="N65" s="212"/>
      <c r="O65" s="191"/>
      <c r="P65" s="191"/>
      <c r="Q65" s="191"/>
    </row>
    <row r="66" spans="2:17" s="103" customFormat="1" ht="10.9" customHeight="1" x14ac:dyDescent="0.15">
      <c r="B66" s="190"/>
      <c r="C66" s="214" t="s">
        <v>3451</v>
      </c>
      <c r="E66" s="215"/>
      <c r="F66" s="215"/>
      <c r="G66" s="203" t="str">
        <f t="array" ref="G66">IF(OR(G17:G21="NA"),"NA",+IF(AND(ROUND(G17:G21,1)=0),"si","Vérificar!"))</f>
        <v>si</v>
      </c>
      <c r="H66" s="215"/>
      <c r="I66" s="215"/>
      <c r="J66" s="215"/>
      <c r="K66" s="215"/>
      <c r="L66" s="203" t="str">
        <f t="array" ref="L66">IF(OR(L17:L21="NA"),"NA",+IF(AND(ROUND(L17:L21,1)=0),"si","Vérificar!"))</f>
        <v>si</v>
      </c>
      <c r="M66" s="215"/>
      <c r="N66" s="215"/>
      <c r="O66" s="191"/>
      <c r="P66" s="191"/>
      <c r="Q66" s="191"/>
    </row>
    <row r="67" spans="2:17" s="103" customFormat="1" ht="10.9" customHeight="1" x14ac:dyDescent="0.15">
      <c r="B67" s="190"/>
      <c r="C67" s="214" t="s">
        <v>3452</v>
      </c>
      <c r="E67" s="215"/>
      <c r="F67" s="215"/>
      <c r="G67" s="203" t="str">
        <f t="array" ref="G67">IF(OR(G22:G26="NA"),"NA",IF(AND(ROUND(G22:G26,1)=0),"si","Vérificar!"))</f>
        <v>si</v>
      </c>
      <c r="H67" s="215"/>
      <c r="I67" s="215"/>
      <c r="J67" s="215"/>
      <c r="K67" s="215"/>
      <c r="L67" s="203" t="str">
        <f t="array" ref="L67">IF(OR(L22:L26="NA"),"NA",IF(AND(ROUND(L22:L26,1)=0),"si","Vérificar!"))</f>
        <v>si</v>
      </c>
      <c r="M67" s="215"/>
      <c r="N67" s="215"/>
      <c r="O67" s="191"/>
      <c r="P67" s="191"/>
      <c r="Q67" s="191"/>
    </row>
    <row r="68" spans="2:17" s="103" customFormat="1" ht="10.9" customHeight="1" x14ac:dyDescent="0.15">
      <c r="B68" s="190"/>
      <c r="C68" s="214" t="s">
        <v>3453</v>
      </c>
      <c r="E68" s="215"/>
      <c r="F68" s="215"/>
      <c r="G68" s="203" t="str">
        <f t="array" ref="G68">IF(OR(G36:G40="NA"),"NA",IF(AND(ROUND(G36:G40,1)=0),"si","Vérificar!"))</f>
        <v>si</v>
      </c>
      <c r="H68" s="215"/>
      <c r="I68" s="215"/>
      <c r="J68" s="215"/>
      <c r="K68" s="215"/>
      <c r="L68" s="203" t="str">
        <f t="array" ref="L68">IF(OR(L36:L40="NA"),"NA",IF(AND(ROUND(L36:L40,1)=0),"si","Vérificar!"))</f>
        <v>si</v>
      </c>
      <c r="M68" s="215"/>
      <c r="N68" s="215"/>
      <c r="O68" s="191"/>
      <c r="P68" s="191"/>
      <c r="Q68" s="191"/>
    </row>
    <row r="69" spans="2:17" s="103" customFormat="1" ht="10.9" customHeight="1" x14ac:dyDescent="0.15">
      <c r="B69" s="190"/>
      <c r="C69" s="214" t="s">
        <v>3454</v>
      </c>
      <c r="E69" s="215"/>
      <c r="F69" s="215"/>
      <c r="G69" s="203" t="str">
        <f t="array" ref="G69">IF(OR(G41:G45="NA"),"NA",IF(AND(ROUND(G41:G45,1)=0),"si","Vérificar!"))</f>
        <v>si</v>
      </c>
      <c r="H69" s="215"/>
      <c r="I69" s="215"/>
      <c r="J69" s="215"/>
      <c r="K69" s="215"/>
      <c r="L69" s="203" t="str">
        <f t="array" ref="L69">IF(OR(L41:L45="NA"),"NA",IF(AND(ROUND(L41:L45,1)=0),"si","Vérificar!"))</f>
        <v>si</v>
      </c>
      <c r="M69" s="215"/>
      <c r="N69" s="215"/>
      <c r="O69" s="191"/>
      <c r="P69" s="191"/>
      <c r="Q69" s="191"/>
    </row>
    <row r="70" spans="2:17" s="103" customFormat="1" ht="10.9" hidden="1" customHeight="1" x14ac:dyDescent="0.15">
      <c r="B70" s="200"/>
      <c r="C70" s="213" t="s">
        <v>2661</v>
      </c>
      <c r="E70" s="212"/>
      <c r="F70" s="212"/>
      <c r="G70" s="216"/>
      <c r="H70" s="212"/>
      <c r="I70" s="212"/>
      <c r="J70" s="212"/>
      <c r="K70" s="212"/>
      <c r="L70" s="216"/>
      <c r="M70" s="212"/>
      <c r="N70" s="212"/>
      <c r="O70" s="191"/>
      <c r="P70" s="191"/>
      <c r="Q70" s="191"/>
    </row>
    <row r="71" spans="2:17" s="103" customFormat="1" ht="10.9" hidden="1" customHeight="1" x14ac:dyDescent="0.15">
      <c r="B71" s="190"/>
      <c r="C71" s="214" t="s">
        <v>2683</v>
      </c>
      <c r="E71" s="215"/>
      <c r="F71" s="215"/>
      <c r="G71" s="203" t="str">
        <f>IF(OR(G10="NA",G29="NA"),"NA",IF(ROUND(G10,1)=ROUND(G29,1),"yes","check!"))</f>
        <v>check!</v>
      </c>
      <c r="H71" s="215"/>
      <c r="I71" s="215"/>
      <c r="J71" s="215"/>
      <c r="K71" s="215"/>
      <c r="L71" s="203" t="str">
        <f>IF(OR(L10="NA",L29="NA"),"NA",IF(ROUND(L10,1)=ROUND(L29,1),"yes","check!"))</f>
        <v>check!</v>
      </c>
      <c r="M71" s="215"/>
      <c r="N71" s="215"/>
      <c r="O71" s="191"/>
      <c r="P71" s="191"/>
      <c r="Q71" s="191"/>
    </row>
    <row r="72" spans="2:17" ht="10.5" customHeight="1" x14ac:dyDescent="0.2">
      <c r="B72" s="217"/>
      <c r="C72" s="77"/>
      <c r="D72" s="262"/>
      <c r="E72" s="277"/>
      <c r="F72" s="277"/>
      <c r="G72" s="277"/>
      <c r="H72" s="277"/>
      <c r="I72" s="277"/>
      <c r="J72" s="277"/>
      <c r="K72" s="277"/>
      <c r="L72" s="277"/>
      <c r="M72" s="277"/>
      <c r="N72" s="277"/>
      <c r="O72" s="202"/>
      <c r="P72" s="258"/>
      <c r="Q72" s="258"/>
    </row>
    <row r="73" spans="2:17" x14ac:dyDescent="0.2">
      <c r="B73" s="190"/>
      <c r="C73" s="103"/>
      <c r="D73" s="103"/>
      <c r="E73" s="103"/>
      <c r="F73" s="103"/>
      <c r="G73" s="103"/>
      <c r="H73" s="103"/>
      <c r="I73" s="103"/>
      <c r="J73" s="103"/>
      <c r="K73" s="103"/>
      <c r="L73" s="103"/>
      <c r="M73" s="103"/>
      <c r="N73" s="103"/>
    </row>
    <row r="74" spans="2:17" x14ac:dyDescent="0.2">
      <c r="B74" s="190"/>
      <c r="C74" s="103"/>
      <c r="D74" s="103"/>
      <c r="E74" s="103"/>
      <c r="F74" s="103"/>
      <c r="G74" s="103"/>
      <c r="H74" s="103"/>
      <c r="I74" s="103"/>
      <c r="J74" s="103"/>
      <c r="K74" s="103"/>
      <c r="L74" s="103"/>
      <c r="M74" s="103"/>
      <c r="N74" s="103"/>
    </row>
    <row r="75" spans="2:17" x14ac:dyDescent="0.2">
      <c r="B75" s="190"/>
      <c r="C75" s="103"/>
      <c r="D75" s="103"/>
      <c r="E75" s="103"/>
      <c r="F75" s="103"/>
      <c r="G75" s="103"/>
      <c r="H75" s="103"/>
      <c r="I75" s="103"/>
      <c r="J75" s="103"/>
      <c r="K75" s="103"/>
      <c r="L75" s="103"/>
      <c r="M75" s="103"/>
      <c r="N75" s="103"/>
    </row>
    <row r="76" spans="2:17" x14ac:dyDescent="0.2">
      <c r="B76" s="190"/>
      <c r="C76" s="103"/>
      <c r="D76" s="103"/>
      <c r="E76" s="103"/>
      <c r="F76" s="103"/>
      <c r="G76" s="103"/>
      <c r="H76" s="103"/>
      <c r="I76" s="103"/>
      <c r="J76" s="103"/>
      <c r="K76" s="103"/>
      <c r="L76" s="103"/>
      <c r="M76" s="103"/>
      <c r="N76" s="103"/>
    </row>
    <row r="77" spans="2:17" x14ac:dyDescent="0.2">
      <c r="B77" s="190"/>
      <c r="C77" s="103"/>
      <c r="D77" s="103"/>
      <c r="E77" s="103"/>
      <c r="F77" s="103"/>
      <c r="G77" s="103"/>
      <c r="H77" s="103"/>
      <c r="I77" s="103"/>
      <c r="J77" s="103"/>
      <c r="K77" s="103"/>
      <c r="L77" s="103"/>
      <c r="M77" s="103"/>
      <c r="N77" s="103"/>
    </row>
    <row r="78" spans="2:17" x14ac:dyDescent="0.2">
      <c r="B78" s="190"/>
      <c r="C78" s="103"/>
      <c r="D78" s="103"/>
      <c r="E78" s="103"/>
      <c r="F78" s="103"/>
      <c r="G78" s="103"/>
      <c r="H78" s="103"/>
      <c r="I78" s="103"/>
      <c r="J78" s="103"/>
      <c r="K78" s="103"/>
      <c r="L78" s="103"/>
      <c r="M78" s="103"/>
      <c r="N78" s="103"/>
    </row>
    <row r="79" spans="2:17" x14ac:dyDescent="0.2">
      <c r="B79" s="190"/>
      <c r="C79" s="103"/>
      <c r="D79" s="103"/>
      <c r="E79" s="103"/>
      <c r="F79" s="103"/>
      <c r="G79" s="103"/>
      <c r="H79" s="103"/>
      <c r="I79" s="103"/>
      <c r="J79" s="103"/>
      <c r="K79" s="103"/>
      <c r="L79" s="103"/>
      <c r="M79" s="103"/>
      <c r="N79" s="103"/>
    </row>
    <row r="80" spans="2:17" x14ac:dyDescent="0.2">
      <c r="B80" s="190"/>
      <c r="C80" s="103"/>
      <c r="D80" s="103"/>
      <c r="E80" s="103"/>
      <c r="F80" s="103"/>
      <c r="G80" s="103"/>
      <c r="H80" s="103"/>
      <c r="I80" s="103"/>
      <c r="J80" s="103"/>
      <c r="K80" s="103"/>
      <c r="L80" s="103"/>
      <c r="M80" s="103"/>
      <c r="N80" s="103"/>
    </row>
    <row r="81" spans="2:14" x14ac:dyDescent="0.2">
      <c r="B81" s="190"/>
      <c r="C81" s="103"/>
      <c r="D81" s="103"/>
      <c r="E81" s="103"/>
      <c r="F81" s="103"/>
      <c r="G81" s="103"/>
      <c r="H81" s="103"/>
      <c r="I81" s="103"/>
      <c r="J81" s="103"/>
      <c r="K81" s="103"/>
      <c r="L81" s="103"/>
      <c r="M81" s="103"/>
      <c r="N81" s="103"/>
    </row>
    <row r="82" spans="2:14" x14ac:dyDescent="0.2">
      <c r="B82" s="190"/>
      <c r="C82" s="103"/>
      <c r="D82" s="103"/>
      <c r="E82" s="103"/>
      <c r="F82" s="103"/>
      <c r="G82" s="103"/>
      <c r="H82" s="103"/>
      <c r="I82" s="103"/>
      <c r="J82" s="103"/>
      <c r="K82" s="103"/>
      <c r="L82" s="103"/>
      <c r="M82" s="103"/>
      <c r="N82" s="103"/>
    </row>
    <row r="83" spans="2:14" x14ac:dyDescent="0.2">
      <c r="B83" s="190"/>
      <c r="C83" s="103"/>
      <c r="D83" s="103"/>
      <c r="E83" s="103"/>
      <c r="F83" s="103"/>
      <c r="G83" s="103"/>
      <c r="H83" s="103"/>
      <c r="I83" s="103"/>
      <c r="J83" s="103"/>
      <c r="K83" s="103"/>
      <c r="L83" s="103"/>
      <c r="M83" s="103"/>
      <c r="N83" s="103"/>
    </row>
    <row r="84" spans="2:14" x14ac:dyDescent="0.2">
      <c r="B84" s="190"/>
      <c r="C84" s="103"/>
      <c r="D84" s="103"/>
      <c r="E84" s="103"/>
      <c r="F84" s="103"/>
      <c r="G84" s="103"/>
      <c r="H84" s="103"/>
      <c r="I84" s="103"/>
      <c r="J84" s="103"/>
      <c r="K84" s="103"/>
      <c r="L84" s="103"/>
      <c r="M84" s="103"/>
      <c r="N84" s="103"/>
    </row>
    <row r="85" spans="2:14" x14ac:dyDescent="0.2">
      <c r="B85" s="190"/>
      <c r="C85" s="103"/>
      <c r="D85" s="103"/>
      <c r="E85" s="103"/>
      <c r="F85" s="103"/>
      <c r="G85" s="103"/>
      <c r="H85" s="103"/>
      <c r="I85" s="103"/>
      <c r="J85" s="103"/>
      <c r="K85" s="103"/>
      <c r="L85" s="103"/>
      <c r="M85" s="103"/>
      <c r="N85" s="103"/>
    </row>
    <row r="86" spans="2:14" x14ac:dyDescent="0.2">
      <c r="B86" s="190"/>
      <c r="C86" s="103"/>
      <c r="D86" s="103"/>
      <c r="E86" s="103"/>
      <c r="F86" s="103"/>
      <c r="G86" s="103"/>
      <c r="H86" s="103"/>
      <c r="I86" s="103"/>
      <c r="J86" s="103"/>
      <c r="K86" s="103"/>
      <c r="L86" s="103"/>
      <c r="M86" s="103"/>
      <c r="N86" s="103"/>
    </row>
    <row r="87" spans="2:14" x14ac:dyDescent="0.2">
      <c r="B87" s="190"/>
      <c r="C87" s="103"/>
      <c r="D87" s="103"/>
      <c r="E87" s="103"/>
      <c r="F87" s="103"/>
      <c r="G87" s="103"/>
      <c r="H87" s="103"/>
      <c r="I87" s="103"/>
      <c r="J87" s="103"/>
      <c r="K87" s="103"/>
      <c r="L87" s="103"/>
      <c r="M87" s="103"/>
      <c r="N87" s="103"/>
    </row>
    <row r="88" spans="2:14" x14ac:dyDescent="0.2">
      <c r="B88" s="190"/>
      <c r="C88" s="103"/>
      <c r="D88" s="103"/>
      <c r="E88" s="103"/>
      <c r="F88" s="103"/>
      <c r="G88" s="103"/>
      <c r="H88" s="103"/>
      <c r="I88" s="103"/>
      <c r="J88" s="103"/>
      <c r="K88" s="103"/>
      <c r="L88" s="103"/>
      <c r="M88" s="103"/>
      <c r="N88" s="103"/>
    </row>
    <row r="89" spans="2:14" x14ac:dyDescent="0.2">
      <c r="B89" s="190"/>
      <c r="C89" s="103"/>
      <c r="D89" s="103"/>
      <c r="E89" s="103"/>
      <c r="F89" s="103"/>
      <c r="G89" s="103"/>
      <c r="H89" s="103"/>
      <c r="I89" s="103"/>
      <c r="J89" s="103"/>
      <c r="K89" s="103"/>
      <c r="L89" s="103"/>
      <c r="M89" s="103"/>
      <c r="N89" s="103"/>
    </row>
    <row r="90" spans="2:14" x14ac:dyDescent="0.2">
      <c r="B90" s="190"/>
      <c r="C90" s="103"/>
      <c r="D90" s="103"/>
      <c r="E90" s="103"/>
      <c r="F90" s="103"/>
      <c r="G90" s="103"/>
      <c r="H90" s="103"/>
      <c r="I90" s="103"/>
      <c r="J90" s="103"/>
      <c r="K90" s="103"/>
      <c r="L90" s="103"/>
      <c r="M90" s="103"/>
      <c r="N90" s="103"/>
    </row>
    <row r="91" spans="2:14" x14ac:dyDescent="0.2">
      <c r="B91" s="190"/>
      <c r="C91" s="103"/>
      <c r="D91" s="103"/>
      <c r="E91" s="103"/>
      <c r="F91" s="103"/>
      <c r="G91" s="103"/>
      <c r="H91" s="103"/>
      <c r="I91" s="103"/>
      <c r="J91" s="103"/>
      <c r="K91" s="103"/>
      <c r="L91" s="103"/>
      <c r="M91" s="103"/>
      <c r="N91" s="103"/>
    </row>
    <row r="92" spans="2:14" x14ac:dyDescent="0.2">
      <c r="B92" s="190"/>
      <c r="C92" s="103"/>
      <c r="D92" s="103"/>
      <c r="E92" s="103"/>
      <c r="F92" s="103"/>
      <c r="G92" s="103"/>
      <c r="H92" s="103"/>
      <c r="I92" s="103"/>
      <c r="J92" s="103"/>
      <c r="K92" s="103"/>
      <c r="L92" s="103"/>
      <c r="M92" s="103"/>
      <c r="N92" s="103"/>
    </row>
    <row r="93" spans="2:14" x14ac:dyDescent="0.2">
      <c r="B93" s="190"/>
      <c r="C93" s="103"/>
      <c r="D93" s="103"/>
      <c r="E93" s="103"/>
      <c r="F93" s="103"/>
      <c r="G93" s="103"/>
      <c r="H93" s="103"/>
      <c r="I93" s="103"/>
      <c r="J93" s="103"/>
      <c r="K93" s="103"/>
      <c r="L93" s="103"/>
      <c r="M93" s="103"/>
      <c r="N93" s="103"/>
    </row>
    <row r="94" spans="2:14" x14ac:dyDescent="0.2">
      <c r="B94" s="190"/>
      <c r="C94" s="103"/>
      <c r="D94" s="103"/>
      <c r="E94" s="103"/>
      <c r="F94" s="103"/>
      <c r="G94" s="103"/>
      <c r="H94" s="103"/>
      <c r="I94" s="103"/>
      <c r="J94" s="103"/>
      <c r="K94" s="103"/>
      <c r="L94" s="103"/>
      <c r="M94" s="103"/>
      <c r="N94" s="103"/>
    </row>
    <row r="95" spans="2:14" x14ac:dyDescent="0.2">
      <c r="B95" s="190"/>
      <c r="C95" s="103"/>
      <c r="D95" s="103"/>
      <c r="E95" s="103"/>
      <c r="F95" s="103"/>
      <c r="G95" s="103"/>
      <c r="H95" s="103"/>
      <c r="I95" s="103"/>
      <c r="J95" s="103"/>
      <c r="K95" s="103"/>
      <c r="L95" s="103"/>
      <c r="M95" s="103"/>
      <c r="N95" s="103"/>
    </row>
    <row r="96" spans="2:14" x14ac:dyDescent="0.2">
      <c r="B96" s="190"/>
      <c r="C96" s="103"/>
      <c r="D96" s="103"/>
      <c r="E96" s="103"/>
      <c r="F96" s="103"/>
      <c r="G96" s="103"/>
      <c r="H96" s="103"/>
      <c r="I96" s="103"/>
      <c r="J96" s="103"/>
      <c r="K96" s="103"/>
      <c r="L96" s="103"/>
      <c r="M96" s="103"/>
      <c r="N96" s="103"/>
    </row>
    <row r="97" spans="2:14" x14ac:dyDescent="0.2">
      <c r="B97" s="190"/>
      <c r="C97" s="103"/>
      <c r="D97" s="103"/>
      <c r="E97" s="103"/>
      <c r="F97" s="103"/>
      <c r="G97" s="103"/>
      <c r="H97" s="103"/>
      <c r="I97" s="103"/>
      <c r="J97" s="103"/>
      <c r="K97" s="103"/>
      <c r="L97" s="103"/>
      <c r="M97" s="103"/>
      <c r="N97" s="103"/>
    </row>
    <row r="98" spans="2:14" x14ac:dyDescent="0.2">
      <c r="B98" s="190"/>
      <c r="C98" s="103"/>
      <c r="D98" s="103"/>
      <c r="E98" s="103"/>
      <c r="F98" s="103"/>
      <c r="G98" s="103"/>
      <c r="H98" s="103"/>
      <c r="I98" s="103"/>
      <c r="J98" s="103"/>
      <c r="K98" s="103"/>
      <c r="L98" s="103"/>
      <c r="M98" s="103"/>
      <c r="N98" s="103"/>
    </row>
    <row r="99" spans="2:14" x14ac:dyDescent="0.2">
      <c r="B99" s="190"/>
      <c r="C99" s="103"/>
      <c r="D99" s="103"/>
      <c r="E99" s="103"/>
      <c r="F99" s="103"/>
      <c r="G99" s="103"/>
      <c r="H99" s="103"/>
      <c r="I99" s="103"/>
      <c r="J99" s="103"/>
      <c r="K99" s="103"/>
      <c r="L99" s="103"/>
      <c r="M99" s="103"/>
      <c r="N99" s="103"/>
    </row>
    <row r="100" spans="2:14" x14ac:dyDescent="0.2">
      <c r="B100" s="190"/>
      <c r="C100" s="103"/>
      <c r="D100" s="103"/>
      <c r="E100" s="103"/>
      <c r="F100" s="103"/>
      <c r="G100" s="103"/>
      <c r="H100" s="103"/>
      <c r="I100" s="103"/>
      <c r="J100" s="103"/>
      <c r="K100" s="103"/>
      <c r="L100" s="103"/>
      <c r="M100" s="103"/>
      <c r="N100" s="103"/>
    </row>
    <row r="101" spans="2:14" x14ac:dyDescent="0.2">
      <c r="B101" s="190"/>
      <c r="C101" s="103"/>
      <c r="D101" s="103"/>
      <c r="E101" s="103"/>
      <c r="F101" s="103"/>
      <c r="G101" s="103"/>
      <c r="H101" s="103"/>
      <c r="I101" s="103"/>
      <c r="J101" s="103"/>
      <c r="K101" s="103"/>
      <c r="L101" s="103"/>
      <c r="M101" s="103"/>
      <c r="N101" s="103"/>
    </row>
    <row r="102" spans="2:14" x14ac:dyDescent="0.2">
      <c r="B102" s="190"/>
      <c r="C102" s="103"/>
      <c r="D102" s="103"/>
      <c r="E102" s="103"/>
      <c r="F102" s="103"/>
      <c r="G102" s="103"/>
      <c r="H102" s="103"/>
      <c r="I102" s="103"/>
      <c r="J102" s="103"/>
      <c r="K102" s="103"/>
      <c r="L102" s="103"/>
      <c r="M102" s="103"/>
      <c r="N102" s="103"/>
    </row>
    <row r="103" spans="2:14" x14ac:dyDescent="0.2">
      <c r="B103" s="190"/>
      <c r="C103" s="103"/>
      <c r="D103" s="103"/>
      <c r="E103" s="103"/>
      <c r="F103" s="103"/>
      <c r="G103" s="103"/>
      <c r="H103" s="103"/>
      <c r="I103" s="103"/>
      <c r="J103" s="103"/>
      <c r="K103" s="103"/>
      <c r="L103" s="103"/>
      <c r="M103" s="103"/>
      <c r="N103" s="103"/>
    </row>
    <row r="104" spans="2:14" x14ac:dyDescent="0.2">
      <c r="B104" s="190"/>
      <c r="C104" s="103"/>
      <c r="D104" s="103"/>
      <c r="E104" s="103"/>
      <c r="F104" s="103"/>
      <c r="G104" s="103"/>
      <c r="H104" s="103"/>
      <c r="I104" s="103"/>
      <c r="J104" s="103"/>
      <c r="K104" s="103"/>
      <c r="L104" s="103"/>
      <c r="M104" s="103"/>
      <c r="N104" s="103"/>
    </row>
    <row r="105" spans="2:14" x14ac:dyDescent="0.2">
      <c r="B105" s="190"/>
      <c r="C105" s="103"/>
      <c r="D105" s="103"/>
      <c r="E105" s="103"/>
      <c r="F105" s="103"/>
      <c r="G105" s="103"/>
      <c r="H105" s="103"/>
      <c r="I105" s="103"/>
      <c r="J105" s="103"/>
      <c r="K105" s="103"/>
      <c r="L105" s="103"/>
      <c r="M105" s="103"/>
      <c r="N105" s="103"/>
    </row>
    <row r="106" spans="2:14" x14ac:dyDescent="0.2">
      <c r="B106" s="190"/>
      <c r="C106" s="103"/>
      <c r="D106" s="103"/>
      <c r="E106" s="103"/>
      <c r="F106" s="103"/>
      <c r="G106" s="103"/>
      <c r="H106" s="103"/>
      <c r="I106" s="103"/>
      <c r="J106" s="103"/>
      <c r="K106" s="103"/>
      <c r="L106" s="103"/>
      <c r="M106" s="103"/>
      <c r="N106" s="103"/>
    </row>
    <row r="107" spans="2:14" x14ac:dyDescent="0.2">
      <c r="B107" s="190"/>
      <c r="C107" s="103"/>
      <c r="D107" s="103"/>
      <c r="E107" s="103"/>
      <c r="F107" s="103"/>
      <c r="G107" s="103"/>
      <c r="H107" s="103"/>
      <c r="I107" s="103"/>
      <c r="J107" s="103"/>
      <c r="K107" s="103"/>
      <c r="L107" s="103"/>
      <c r="M107" s="103"/>
      <c r="N107" s="103"/>
    </row>
    <row r="108" spans="2:14" x14ac:dyDescent="0.2">
      <c r="B108" s="190"/>
      <c r="C108" s="103"/>
      <c r="D108" s="103"/>
      <c r="E108" s="103"/>
      <c r="F108" s="103"/>
      <c r="G108" s="103"/>
      <c r="H108" s="103"/>
      <c r="I108" s="103"/>
      <c r="J108" s="103"/>
      <c r="K108" s="103"/>
      <c r="L108" s="103"/>
      <c r="M108" s="103"/>
      <c r="N108" s="103"/>
    </row>
    <row r="109" spans="2:14" x14ac:dyDescent="0.2">
      <c r="B109" s="190"/>
      <c r="C109" s="103"/>
      <c r="D109" s="103"/>
      <c r="E109" s="103"/>
      <c r="F109" s="103"/>
      <c r="G109" s="103"/>
      <c r="H109" s="103"/>
      <c r="I109" s="103"/>
      <c r="J109" s="103"/>
      <c r="K109" s="103"/>
      <c r="L109" s="103"/>
      <c r="M109" s="103"/>
      <c r="N109" s="103"/>
    </row>
    <row r="110" spans="2:14" x14ac:dyDescent="0.2">
      <c r="B110" s="190"/>
      <c r="C110" s="103"/>
      <c r="D110" s="103"/>
      <c r="E110" s="103"/>
      <c r="F110" s="103"/>
      <c r="G110" s="103"/>
      <c r="H110" s="103"/>
      <c r="I110" s="103"/>
      <c r="J110" s="103"/>
      <c r="K110" s="103"/>
      <c r="L110" s="103"/>
      <c r="M110" s="103"/>
      <c r="N110" s="103"/>
    </row>
    <row r="111" spans="2:14" x14ac:dyDescent="0.2">
      <c r="B111" s="190"/>
      <c r="C111" s="103"/>
      <c r="D111" s="103"/>
      <c r="E111" s="103"/>
      <c r="F111" s="103"/>
      <c r="G111" s="103"/>
      <c r="H111" s="103"/>
      <c r="I111" s="103"/>
      <c r="J111" s="103"/>
      <c r="K111" s="103"/>
      <c r="L111" s="103"/>
      <c r="M111" s="103"/>
      <c r="N111" s="103"/>
    </row>
    <row r="112" spans="2:14" x14ac:dyDescent="0.2">
      <c r="B112" s="190"/>
      <c r="C112" s="103"/>
      <c r="D112" s="103"/>
      <c r="E112" s="103"/>
      <c r="F112" s="103"/>
      <c r="G112" s="103"/>
      <c r="H112" s="103"/>
      <c r="I112" s="103"/>
      <c r="J112" s="103"/>
      <c r="K112" s="103"/>
      <c r="L112" s="103"/>
      <c r="M112" s="103"/>
      <c r="N112" s="103"/>
    </row>
    <row r="113" spans="2:14" x14ac:dyDescent="0.2">
      <c r="B113" s="190"/>
      <c r="C113" s="103"/>
      <c r="D113" s="103"/>
      <c r="E113" s="103"/>
      <c r="F113" s="103"/>
      <c r="G113" s="103"/>
      <c r="H113" s="103"/>
      <c r="I113" s="103"/>
      <c r="J113" s="103"/>
      <c r="K113" s="103"/>
      <c r="L113" s="103"/>
      <c r="M113" s="103"/>
      <c r="N113" s="103"/>
    </row>
    <row r="114" spans="2:14" x14ac:dyDescent="0.2">
      <c r="B114" s="190"/>
      <c r="C114" s="103"/>
      <c r="D114" s="103"/>
      <c r="E114" s="103"/>
      <c r="F114" s="103"/>
      <c r="G114" s="103"/>
      <c r="H114" s="103"/>
      <c r="I114" s="103"/>
      <c r="J114" s="103"/>
      <c r="K114" s="103"/>
      <c r="L114" s="103"/>
      <c r="M114" s="103"/>
      <c r="N114" s="103"/>
    </row>
    <row r="115" spans="2:14" x14ac:dyDescent="0.2">
      <c r="B115" s="190"/>
      <c r="C115" s="103"/>
      <c r="D115" s="103"/>
      <c r="E115" s="103"/>
      <c r="F115" s="103"/>
      <c r="G115" s="103"/>
      <c r="H115" s="103"/>
      <c r="I115" s="103"/>
      <c r="J115" s="103"/>
      <c r="K115" s="103"/>
      <c r="L115" s="103"/>
      <c r="M115" s="103"/>
      <c r="N115" s="103"/>
    </row>
    <row r="116" spans="2:14" x14ac:dyDescent="0.2">
      <c r="B116" s="190"/>
      <c r="C116" s="103"/>
      <c r="D116" s="103"/>
      <c r="E116" s="103"/>
      <c r="F116" s="103"/>
      <c r="G116" s="103"/>
      <c r="H116" s="103"/>
      <c r="I116" s="103"/>
      <c r="J116" s="103"/>
      <c r="K116" s="103"/>
      <c r="L116" s="103"/>
      <c r="M116" s="103"/>
      <c r="N116" s="103"/>
    </row>
    <row r="117" spans="2:14" x14ac:dyDescent="0.2">
      <c r="B117" s="190"/>
      <c r="C117" s="103"/>
      <c r="D117" s="103"/>
      <c r="E117" s="103"/>
      <c r="F117" s="103"/>
      <c r="G117" s="103"/>
      <c r="H117" s="103"/>
      <c r="I117" s="103"/>
      <c r="J117" s="103"/>
      <c r="K117" s="103"/>
      <c r="L117" s="103"/>
      <c r="M117" s="103"/>
      <c r="N117" s="103"/>
    </row>
  </sheetData>
  <sheetProtection password="EECE" sheet="1" objects="1" scenarios="1" formatCells="0" formatColumns="0" formatRows="0"/>
  <customSheetViews>
    <customSheetView guid="{C3088B2E-F853-4D7E-B687-C6500891DFCB}" scale="110" showPageBreaks="1" fitToPage="1" printArea="1">
      <pane xSplit="3" ySplit="6" topLeftCell="K25" activePane="bottomRight" state="frozen"/>
      <selection pane="bottomRight"/>
      <pageMargins left="0.47244094488188998" right="0.47244094488188998" top="0.59055118110236204" bottom="0.59055118110236204" header="0.39370078740157499" footer="0.39370078740157499"/>
      <pageSetup scale="81" fitToHeight="0" orientation="landscape" r:id="rId1"/>
      <headerFooter alignWithMargins="0">
        <oddFooter>&amp;L&amp;8&amp;D  &amp;T&amp;R&amp;8March 2014, Version 0.2</oddFooter>
      </headerFooter>
    </customSheetView>
    <customSheetView guid="{F866C9B2-56BF-4FE4-B270-CC8FE15A5892}" scale="110" showPageBreaks="1" fitToPage="1" printArea="1">
      <pane xSplit="2" ySplit="6" topLeftCell="D7" activePane="bottomRight" state="frozen"/>
      <selection pane="bottomRight"/>
      <pageMargins left="0.47244094488188998" right="0.47244094488188998" top="0.59055118110236204" bottom="0.59055118110236204" header="0.39370078740157499" footer="0.39370078740157499"/>
      <pageSetup scale="80" fitToHeight="0" orientation="landscape" r:id="rId2"/>
      <headerFooter alignWithMargins="0">
        <oddFooter>&amp;L&amp;8&amp;D  &amp;T&amp;R&amp;8March 2014, Version 0.2</oddFooter>
      </headerFooter>
    </customSheetView>
    <customSheetView guid="{D66484CB-9D53-43A1-A83D-11534BC40BF6}" scale="110" showPageBreaks="1" fitToPage="1" printArea="1">
      <pane xSplit="3" ySplit="6" topLeftCell="D7" activePane="bottomRight" state="frozen"/>
      <selection pane="bottomRight" activeCell="E29" sqref="E29"/>
      <pageMargins left="0.47244094488188998" right="0.47244094488188998" top="0.59055118110236204" bottom="0.59055118110236204" header="0.39370078740157499" footer="0.39370078740157499"/>
      <pageSetup scale="80" fitToHeight="0" orientation="landscape" r:id="rId3"/>
      <headerFooter alignWithMargins="0">
        <oddFooter>&amp;L&amp;8&amp;D  &amp;T&amp;R&amp;8March 2014, Version 0.2</oddFooter>
      </headerFooter>
    </customSheetView>
  </customSheetViews>
  <mergeCells count="12">
    <mergeCell ref="B4:C5"/>
    <mergeCell ref="E4:H4"/>
    <mergeCell ref="I4:I5"/>
    <mergeCell ref="J4:J5"/>
    <mergeCell ref="K4:K5"/>
    <mergeCell ref="G1:M1"/>
    <mergeCell ref="N3:N5"/>
    <mergeCell ref="M4:M5"/>
    <mergeCell ref="P4:Q4"/>
    <mergeCell ref="G3:H3"/>
    <mergeCell ref="F2:N2"/>
    <mergeCell ref="L4:L5"/>
  </mergeCells>
  <conditionalFormatting sqref="P8:Q45">
    <cfRule type="containsText" dxfId="42" priority="13" operator="containsText" text="NA">
      <formula>NOT(ISERROR(SEARCH("NA",P8)))</formula>
    </cfRule>
    <cfRule type="cellIs" dxfId="41" priority="14" operator="between">
      <formula>-0.1</formula>
      <formula>0.1</formula>
    </cfRule>
    <cfRule type="cellIs" dxfId="40" priority="70" operator="lessThan">
      <formula>-0.1</formula>
    </cfRule>
    <cfRule type="cellIs" dxfId="39" priority="71" operator="greaterThan">
      <formula>0.1</formula>
    </cfRule>
  </conditionalFormatting>
  <conditionalFormatting sqref="E59:N60 E65:N72 E63:L64 N63:N64 E62:N62 E61:F61 M61:N61">
    <cfRule type="containsText" dxfId="38" priority="21" operator="containsText" text="NV">
      <formula>NOT(ISERROR(SEARCH("NV",E59)))</formula>
    </cfRule>
    <cfRule type="containsText" dxfId="37" priority="48" operator="containsText" text="Vérifier">
      <formula>NOT(ISERROR(SEARCH("Vérifier",E59)))</formula>
    </cfRule>
  </conditionalFormatting>
  <conditionalFormatting sqref="L66:L69 L71 G66:G69 G71">
    <cfRule type="containsText" dxfId="36" priority="20" operator="containsText" text="Oui">
      <formula>NOT(ISERROR(SEARCH("Oui",G66)))</formula>
    </cfRule>
  </conditionalFormatting>
  <conditionalFormatting sqref="E49:N56">
    <cfRule type="containsText" dxfId="35" priority="15" operator="containsText" text="NA">
      <formula>NOT(ISERROR(SEARCH("NA",E49)))</formula>
    </cfRule>
    <cfRule type="cellIs" dxfId="34" priority="16" operator="between">
      <formula>-0.1</formula>
      <formula>0.1</formula>
    </cfRule>
    <cfRule type="cellIs" dxfId="33" priority="17" operator="lessThan">
      <formula>-0.1</formula>
    </cfRule>
    <cfRule type="cellIs" dxfId="32" priority="18" operator="greaterThan">
      <formula>0.1</formula>
    </cfRule>
  </conditionalFormatting>
  <conditionalFormatting sqref="G62:G71 L62:L71">
    <cfRule type="containsText" dxfId="31" priority="12" operator="containsText" text="NA">
      <formula>NOT(ISERROR(SEARCH("NA",G62)))</formula>
    </cfRule>
  </conditionalFormatting>
  <conditionalFormatting sqref="M63:M64">
    <cfRule type="containsText" dxfId="30" priority="11" operator="containsText" text="Vérifier">
      <formula>NOT(ISERROR(SEARCH("Vérifier",M63)))</formula>
    </cfRule>
  </conditionalFormatting>
  <conditionalFormatting sqref="M63:M64">
    <cfRule type="containsText" dxfId="29" priority="9" operator="containsText" text="Oui">
      <formula>NOT(ISERROR(SEARCH("Oui",M63)))</formula>
    </cfRule>
  </conditionalFormatting>
  <conditionalFormatting sqref="M63:M64">
    <cfRule type="containsText" dxfId="28" priority="8" operator="containsText" text="NA">
      <formula>NOT(ISERROR(SEARCH("NA",M63)))</formula>
    </cfRule>
  </conditionalFormatting>
  <conditionalFormatting sqref="M63:M64">
    <cfRule type="containsText" dxfId="27" priority="7" operator="containsText" text="NA">
      <formula>NOT(ISERROR(SEARCH("NA",M63)))</formula>
    </cfRule>
  </conditionalFormatting>
  <conditionalFormatting sqref="G61:L61">
    <cfRule type="containsText" dxfId="26" priority="3" operator="containsText" text="verificar">
      <formula>NOT(ISERROR(SEARCH("verificar",G61)))</formula>
    </cfRule>
    <cfRule type="containsText" dxfId="25" priority="4" operator="containsText" text="si">
      <formula>NOT(ISERROR(SEARCH("si",G61)))</formula>
    </cfRule>
    <cfRule type="containsText" dxfId="24" priority="5" operator="containsText" text="NV">
      <formula>NOT(ISERROR(SEARCH("NV",G61)))</formula>
    </cfRule>
    <cfRule type="containsText" dxfId="23" priority="6" operator="containsText" text="check">
      <formula>NOT(ISERROR(SEARCH("check",G61)))</formula>
    </cfRule>
  </conditionalFormatting>
  <conditionalFormatting sqref="G61:M69">
    <cfRule type="containsText" dxfId="22" priority="1" operator="containsText" text="v">
      <formula>NOT(ISERROR(SEARCH("v",G61)))</formula>
    </cfRule>
    <cfRule type="containsText" dxfId="21" priority="2" operator="containsText" text="si">
      <formula>NOT(ISERROR(SEARCH("si",G61)))</formula>
    </cfRule>
  </conditionalFormatting>
  <pageMargins left="0.47244094488188998" right="0.47244094488188998" top="0.59055118110236204" bottom="0.59055118110236204" header="0.39370078740157499" footer="0.39370078740157499"/>
  <pageSetup scale="80" fitToHeight="0" orientation="landscape" r:id="rId4"/>
  <headerFooter alignWithMargins="0">
    <oddFooter>&amp;L&amp;8&amp;D  &amp;T&amp;R&amp;8March 2014, Version 0.2</oddFooter>
  </headerFooter>
  <legacyDrawing r:id="rId5"/>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indexed="52"/>
    <pageSetUpPr fitToPage="1"/>
  </sheetPr>
  <dimension ref="A1:Q273"/>
  <sheetViews>
    <sheetView workbookViewId="0">
      <pane xSplit="4" ySplit="7" topLeftCell="E8" activePane="bottomRight" state="frozen"/>
      <selection activeCell="Q53" sqref="P8:Q53"/>
      <selection pane="topRight" activeCell="Q53" sqref="P8:Q53"/>
      <selection pane="bottomLeft" activeCell="Q53" sqref="P8:Q53"/>
      <selection pane="bottomRight" activeCell="N45" sqref="N45"/>
    </sheetView>
  </sheetViews>
  <sheetFormatPr baseColWidth="10" defaultColWidth="9.140625" defaultRowHeight="12.75" x14ac:dyDescent="0.2"/>
  <cols>
    <col min="1" max="1" width="13.5703125" style="164" hidden="1" customWidth="1"/>
    <col min="2" max="2" width="7.28515625" style="221" customWidth="1"/>
    <col min="3" max="3" width="59.5703125" style="164" customWidth="1"/>
    <col min="4" max="4" width="0.85546875" style="164" customWidth="1"/>
    <col min="5" max="14" width="10" style="164" customWidth="1"/>
    <col min="15" max="15" width="3.28515625" style="164" customWidth="1"/>
    <col min="16" max="17" width="11.7109375" style="164" customWidth="1"/>
    <col min="18" max="18" width="9.140625" style="164" customWidth="1"/>
    <col min="19" max="16384" width="9.140625" style="164"/>
  </cols>
  <sheetData>
    <row r="1" spans="1:17" ht="14.25" x14ac:dyDescent="0.25">
      <c r="B1" s="513" t="str">
        <f>+Coverpage!A1</f>
        <v>GFSM2014_V1.5</v>
      </c>
      <c r="C1" s="514"/>
      <c r="D1" s="515"/>
      <c r="E1" s="516"/>
      <c r="F1" s="517"/>
      <c r="G1" s="771" t="str">
        <f>Reporting_Country_Name</f>
        <v>Colombia</v>
      </c>
      <c r="H1" s="771"/>
      <c r="I1" s="771"/>
      <c r="J1" s="771"/>
      <c r="K1" s="771"/>
      <c r="L1" s="771"/>
      <c r="M1" s="771"/>
      <c r="N1" s="661" t="str">
        <f>Reporting_Country_Code</f>
        <v>233</v>
      </c>
      <c r="O1" s="519"/>
      <c r="P1" s="653" t="s">
        <v>2731</v>
      </c>
      <c r="Q1" s="654"/>
    </row>
    <row r="2" spans="1:17" ht="14.25" x14ac:dyDescent="0.25">
      <c r="B2" s="513" t="s">
        <v>3470</v>
      </c>
      <c r="C2" s="582"/>
      <c r="D2" s="583"/>
      <c r="E2" s="523"/>
      <c r="F2" s="780" t="str">
        <f>"En "&amp;Coverpage!$I$15&amp;" de "&amp;Coverpage!$I$14&amp;" / El año fiscal termina en "&amp;Coverpage!$I$11&amp;" "&amp;Coverpage!$I$12</f>
        <v xml:space="preserve">En Billion de Colombian Pesos (COP) / El año fiscal termina en  </v>
      </c>
      <c r="G2" s="781"/>
      <c r="H2" s="781"/>
      <c r="I2" s="781"/>
      <c r="J2" s="781"/>
      <c r="K2" s="781"/>
      <c r="L2" s="781"/>
      <c r="M2" s="781"/>
      <c r="N2" s="781"/>
      <c r="O2" s="519"/>
      <c r="P2" s="655" t="s">
        <v>2732</v>
      </c>
      <c r="Q2" s="656"/>
    </row>
    <row r="3" spans="1:17" ht="12" customHeight="1" x14ac:dyDescent="0.25">
      <c r="B3" s="524"/>
      <c r="C3" s="525"/>
      <c r="D3" s="526"/>
      <c r="E3" s="527"/>
      <c r="F3" s="528"/>
      <c r="G3" s="784" t="s">
        <v>2726</v>
      </c>
      <c r="H3" s="784"/>
      <c r="I3" s="529" t="str">
        <f>Reporting_Period_Code</f>
        <v>2016</v>
      </c>
      <c r="J3" s="529"/>
      <c r="K3" s="528"/>
      <c r="L3" s="528"/>
      <c r="M3" s="530"/>
      <c r="N3" s="790" t="s">
        <v>2723</v>
      </c>
      <c r="O3" s="531"/>
      <c r="P3" s="168"/>
      <c r="Q3" s="168"/>
    </row>
    <row r="4" spans="1:17" ht="12" customHeight="1" x14ac:dyDescent="0.2">
      <c r="B4" s="794" t="s">
        <v>3469</v>
      </c>
      <c r="C4" s="795"/>
      <c r="D4" s="532"/>
      <c r="E4" s="787" t="s">
        <v>2727</v>
      </c>
      <c r="F4" s="788"/>
      <c r="G4" s="788"/>
      <c r="H4" s="789"/>
      <c r="I4" s="790" t="s">
        <v>2719</v>
      </c>
      <c r="J4" s="790" t="s">
        <v>2720</v>
      </c>
      <c r="K4" s="792" t="s">
        <v>2721</v>
      </c>
      <c r="L4" s="790" t="s">
        <v>2728</v>
      </c>
      <c r="M4" s="793" t="s">
        <v>2722</v>
      </c>
      <c r="N4" s="791"/>
      <c r="O4" s="531"/>
      <c r="P4" s="778" t="s">
        <v>2733</v>
      </c>
      <c r="Q4" s="779"/>
    </row>
    <row r="5" spans="1:17" ht="30" customHeight="1" x14ac:dyDescent="0.2">
      <c r="B5" s="794"/>
      <c r="C5" s="795"/>
      <c r="D5" s="532"/>
      <c r="E5" s="711" t="s">
        <v>2729</v>
      </c>
      <c r="F5" s="712" t="s">
        <v>2813</v>
      </c>
      <c r="G5" s="712" t="s">
        <v>2728</v>
      </c>
      <c r="H5" s="713" t="s">
        <v>2718</v>
      </c>
      <c r="I5" s="791"/>
      <c r="J5" s="791"/>
      <c r="K5" s="792"/>
      <c r="L5" s="791"/>
      <c r="M5" s="793"/>
      <c r="N5" s="791"/>
      <c r="O5" s="531"/>
      <c r="P5" s="668" t="s">
        <v>2734</v>
      </c>
      <c r="Q5" s="669" t="s">
        <v>2735</v>
      </c>
    </row>
    <row r="6" spans="1:17" ht="30" hidden="1" customHeight="1" x14ac:dyDescent="0.2">
      <c r="B6" s="618"/>
      <c r="C6" s="619"/>
      <c r="D6" s="532"/>
      <c r="E6" s="533" t="s">
        <v>1562</v>
      </c>
      <c r="F6" s="534" t="s">
        <v>1563</v>
      </c>
      <c r="G6" s="534" t="s">
        <v>1575</v>
      </c>
      <c r="H6" s="535" t="s">
        <v>634</v>
      </c>
      <c r="I6" s="535" t="s">
        <v>1564</v>
      </c>
      <c r="J6" s="534" t="s">
        <v>1574</v>
      </c>
      <c r="K6" s="535" t="s">
        <v>637</v>
      </c>
      <c r="L6" s="534" t="s">
        <v>1576</v>
      </c>
      <c r="M6" s="574" t="s">
        <v>1565</v>
      </c>
      <c r="N6" s="574" t="s">
        <v>1577</v>
      </c>
      <c r="O6" s="531"/>
      <c r="P6" s="169"/>
      <c r="Q6" s="170"/>
    </row>
    <row r="7" spans="1:17" ht="10.5" customHeight="1" x14ac:dyDescent="0.2">
      <c r="A7" s="143"/>
      <c r="B7" s="536"/>
      <c r="C7" s="537"/>
      <c r="D7" s="537"/>
      <c r="E7" s="538" t="s">
        <v>632</v>
      </c>
      <c r="F7" s="539" t="s">
        <v>633</v>
      </c>
      <c r="G7" s="540" t="s">
        <v>155</v>
      </c>
      <c r="H7" s="539" t="s">
        <v>634</v>
      </c>
      <c r="I7" s="540" t="s">
        <v>635</v>
      </c>
      <c r="J7" s="539" t="s">
        <v>636</v>
      </c>
      <c r="K7" s="540" t="s">
        <v>637</v>
      </c>
      <c r="L7" s="539" t="s">
        <v>156</v>
      </c>
      <c r="M7" s="541" t="s">
        <v>638</v>
      </c>
      <c r="N7" s="541" t="s">
        <v>639</v>
      </c>
      <c r="O7" s="531"/>
      <c r="P7" s="171" t="s">
        <v>640</v>
      </c>
      <c r="Q7" s="172" t="s">
        <v>641</v>
      </c>
    </row>
    <row r="8" spans="1:17" ht="15" customHeight="1" x14ac:dyDescent="0.2">
      <c r="A8" s="143" t="s">
        <v>1892</v>
      </c>
      <c r="B8" s="594" t="s">
        <v>12</v>
      </c>
      <c r="C8" s="595" t="s">
        <v>3471</v>
      </c>
      <c r="D8" s="586" t="s">
        <v>48</v>
      </c>
      <c r="E8" s="476">
        <f t="shared" ref="E8:N8" si="0">IF(OR(E9="NA",E14="NA",E25="NA"),"NA",IF(AND(E9="",E14="",E25=""),"",SUM(E9)+SUM(E14)-SUM(E25)))</f>
        <v>-8129.7030619999941</v>
      </c>
      <c r="F8" s="476">
        <f t="shared" si="0"/>
        <v>577.59933500000011</v>
      </c>
      <c r="G8" s="476">
        <f>IF(OR(G14="NA",G25="NA"),"NA",IF(AND(G14="",G25=""),"",SUM(G9)+SUM(G14)-SUM(G25)))</f>
        <v>0</v>
      </c>
      <c r="H8" s="476">
        <f t="shared" ref="H8:K8" si="1">IF(OR(H9="NA",H14="NA",H25="NA"),"NA",IF(AND(H9="",H14="",H25=""),"",SUM(H9)+SUM(H14)-SUM(H25)))</f>
        <v>-7552.1037269999943</v>
      </c>
      <c r="I8" s="476">
        <f t="shared" si="1"/>
        <v>499.10933999999997</v>
      </c>
      <c r="J8" s="476">
        <f t="shared" si="1"/>
        <v>2279.2247580000003</v>
      </c>
      <c r="K8" s="476">
        <f t="shared" si="1"/>
        <v>-990.09368099999972</v>
      </c>
      <c r="L8" s="476">
        <f>IF(OR(L14="NA",L25="NA"),"NA",IF(AND(L14="",L25=""),"",SUM(L9)+SUM(L14)-SUM(L25)))</f>
        <v>0</v>
      </c>
      <c r="M8" s="476">
        <f t="shared" si="0"/>
        <v>-5763.8633099999934</v>
      </c>
      <c r="N8" s="145">
        <f t="shared" si="0"/>
        <v>-7052.9943869999952</v>
      </c>
      <c r="O8" s="581"/>
      <c r="P8" s="268">
        <f t="shared" ref="P8:P35" si="2">IF(OR(H8="NA",E8="NA",F8="NA",G8="NA"),"NA",SUM(H8)-SUM(E8:G8))</f>
        <v>0</v>
      </c>
      <c r="Q8" s="269">
        <f t="shared" ref="Q8:Q35" si="3">IF(OR(M8="NA",H8="NA",I8="NA",J8="NA",K8="NA",L8="NA"),"NA",SUM(M8)-SUM(H8:L8))</f>
        <v>0</v>
      </c>
    </row>
    <row r="9" spans="1:17" ht="14.25" x14ac:dyDescent="0.25">
      <c r="A9" s="143" t="s">
        <v>1893</v>
      </c>
      <c r="B9" s="629" t="s">
        <v>174</v>
      </c>
      <c r="C9" s="630" t="s">
        <v>3472</v>
      </c>
      <c r="D9" s="631" t="s">
        <v>48</v>
      </c>
      <c r="E9" s="92">
        <v>3748.3460230000001</v>
      </c>
      <c r="F9" s="92">
        <v>512.27376700000002</v>
      </c>
      <c r="G9" s="473">
        <v>0</v>
      </c>
      <c r="H9" s="92">
        <f>E9+F9+G9</f>
        <v>4260.6197899999997</v>
      </c>
      <c r="I9" s="92">
        <v>-466.00256999999999</v>
      </c>
      <c r="J9" s="92">
        <v>145.30553200000006</v>
      </c>
      <c r="K9" s="92">
        <v>1616.9324259999999</v>
      </c>
      <c r="L9" s="473">
        <v>0</v>
      </c>
      <c r="M9" s="92">
        <f>SUM(H9:L9)</f>
        <v>5556.8551779999998</v>
      </c>
      <c r="N9" s="92">
        <f>H9+I9</f>
        <v>3794.6172199999996</v>
      </c>
      <c r="O9" s="546"/>
      <c r="P9" s="181">
        <f t="shared" si="2"/>
        <v>0</v>
      </c>
      <c r="Q9" s="182">
        <f t="shared" si="3"/>
        <v>0</v>
      </c>
    </row>
    <row r="10" spans="1:17" ht="14.25" hidden="1" x14ac:dyDescent="0.25">
      <c r="A10" s="143" t="s">
        <v>1894</v>
      </c>
      <c r="B10" s="549" t="s">
        <v>1369</v>
      </c>
      <c r="C10" s="550" t="s">
        <v>3133</v>
      </c>
      <c r="D10" s="611" t="s">
        <v>48</v>
      </c>
      <c r="E10" s="424" t="s">
        <v>2622</v>
      </c>
      <c r="F10" s="424" t="s">
        <v>2622</v>
      </c>
      <c r="G10" s="424" t="s">
        <v>2622</v>
      </c>
      <c r="H10" s="424" t="s">
        <v>2622</v>
      </c>
      <c r="I10" s="424" t="s">
        <v>2622</v>
      </c>
      <c r="J10" s="424" t="s">
        <v>2622</v>
      </c>
      <c r="K10" s="424" t="s">
        <v>2622</v>
      </c>
      <c r="L10" s="424" t="s">
        <v>2622</v>
      </c>
      <c r="M10" s="424" t="s">
        <v>2622</v>
      </c>
      <c r="N10" s="424" t="s">
        <v>2622</v>
      </c>
      <c r="O10" s="546"/>
      <c r="P10" s="178" t="str">
        <f t="shared" si="2"/>
        <v>NA</v>
      </c>
      <c r="Q10" s="179" t="str">
        <f t="shared" si="3"/>
        <v>NA</v>
      </c>
    </row>
    <row r="11" spans="1:17" ht="14.25" hidden="1" x14ac:dyDescent="0.25">
      <c r="A11" s="143" t="s">
        <v>1895</v>
      </c>
      <c r="B11" s="549" t="s">
        <v>1370</v>
      </c>
      <c r="C11" s="550" t="s">
        <v>3100</v>
      </c>
      <c r="D11" s="611" t="s">
        <v>48</v>
      </c>
      <c r="E11" s="424" t="s">
        <v>2622</v>
      </c>
      <c r="F11" s="424" t="s">
        <v>2622</v>
      </c>
      <c r="G11" s="424" t="s">
        <v>2622</v>
      </c>
      <c r="H11" s="424" t="s">
        <v>2622</v>
      </c>
      <c r="I11" s="424" t="s">
        <v>2622</v>
      </c>
      <c r="J11" s="424" t="s">
        <v>2622</v>
      </c>
      <c r="K11" s="424" t="s">
        <v>2622</v>
      </c>
      <c r="L11" s="424" t="s">
        <v>2622</v>
      </c>
      <c r="M11" s="424" t="s">
        <v>2622</v>
      </c>
      <c r="N11" s="424" t="s">
        <v>2622</v>
      </c>
      <c r="O11" s="546"/>
      <c r="P11" s="178" t="str">
        <f t="shared" si="2"/>
        <v>NA</v>
      </c>
      <c r="Q11" s="179" t="str">
        <f t="shared" si="3"/>
        <v>NA</v>
      </c>
    </row>
    <row r="12" spans="1:17" ht="14.25" hidden="1" x14ac:dyDescent="0.25">
      <c r="A12" s="143" t="s">
        <v>1896</v>
      </c>
      <c r="B12" s="549" t="s">
        <v>1371</v>
      </c>
      <c r="C12" s="550" t="s">
        <v>3101</v>
      </c>
      <c r="D12" s="611" t="s">
        <v>48</v>
      </c>
      <c r="E12" s="424" t="s">
        <v>2622</v>
      </c>
      <c r="F12" s="424" t="s">
        <v>2622</v>
      </c>
      <c r="G12" s="424" t="s">
        <v>2622</v>
      </c>
      <c r="H12" s="424" t="s">
        <v>2622</v>
      </c>
      <c r="I12" s="424" t="s">
        <v>2622</v>
      </c>
      <c r="J12" s="424" t="s">
        <v>2622</v>
      </c>
      <c r="K12" s="424" t="s">
        <v>2622</v>
      </c>
      <c r="L12" s="424" t="s">
        <v>2622</v>
      </c>
      <c r="M12" s="424" t="s">
        <v>2622</v>
      </c>
      <c r="N12" s="424" t="s">
        <v>2622</v>
      </c>
      <c r="O12" s="546"/>
      <c r="P12" s="178" t="str">
        <f t="shared" si="2"/>
        <v>NA</v>
      </c>
      <c r="Q12" s="179" t="str">
        <f t="shared" si="3"/>
        <v>NA</v>
      </c>
    </row>
    <row r="13" spans="1:17" ht="14.25" hidden="1" x14ac:dyDescent="0.25">
      <c r="A13" s="143" t="s">
        <v>1897</v>
      </c>
      <c r="B13" s="549" t="s">
        <v>1372</v>
      </c>
      <c r="C13" s="550" t="s">
        <v>3102</v>
      </c>
      <c r="D13" s="611" t="s">
        <v>48</v>
      </c>
      <c r="E13" s="424" t="s">
        <v>2622</v>
      </c>
      <c r="F13" s="424" t="s">
        <v>2622</v>
      </c>
      <c r="G13" s="424" t="s">
        <v>2622</v>
      </c>
      <c r="H13" s="424" t="s">
        <v>2622</v>
      </c>
      <c r="I13" s="424" t="s">
        <v>2622</v>
      </c>
      <c r="J13" s="424" t="s">
        <v>2622</v>
      </c>
      <c r="K13" s="424" t="s">
        <v>2622</v>
      </c>
      <c r="L13" s="424" t="s">
        <v>2622</v>
      </c>
      <c r="M13" s="424" t="s">
        <v>2622</v>
      </c>
      <c r="N13" s="424" t="s">
        <v>2622</v>
      </c>
      <c r="O13" s="546"/>
      <c r="P13" s="178" t="str">
        <f t="shared" si="2"/>
        <v>NA</v>
      </c>
      <c r="Q13" s="179" t="str">
        <f t="shared" si="3"/>
        <v>NA</v>
      </c>
    </row>
    <row r="14" spans="1:17" ht="14.25" x14ac:dyDescent="0.25">
      <c r="A14" s="143" t="s">
        <v>1898</v>
      </c>
      <c r="B14" s="549" t="s">
        <v>1373</v>
      </c>
      <c r="C14" s="532" t="s">
        <v>3473</v>
      </c>
      <c r="D14" s="611" t="s">
        <v>48</v>
      </c>
      <c r="E14" s="92">
        <v>-16280.126593000001</v>
      </c>
      <c r="F14" s="92">
        <v>-285.42622799999998</v>
      </c>
      <c r="G14" s="92">
        <v>0</v>
      </c>
      <c r="H14" s="92">
        <f>E14+F14+G14</f>
        <v>-16565.552821000001</v>
      </c>
      <c r="I14" s="92">
        <v>681.23568599999999</v>
      </c>
      <c r="J14" s="92">
        <v>526.47705200000007</v>
      </c>
      <c r="K14" s="92">
        <v>-3252.1584729999995</v>
      </c>
      <c r="L14" s="92">
        <v>0</v>
      </c>
      <c r="M14" s="92">
        <f>SUM(H14:L14)</f>
        <v>-18609.998555999999</v>
      </c>
      <c r="N14" s="92">
        <f>H14+I14</f>
        <v>-15884.317135000001</v>
      </c>
      <c r="O14" s="546"/>
      <c r="P14" s="237">
        <f t="shared" si="2"/>
        <v>0</v>
      </c>
      <c r="Q14" s="238">
        <f t="shared" si="3"/>
        <v>0</v>
      </c>
    </row>
    <row r="15" spans="1:17" ht="14.25" hidden="1" x14ac:dyDescent="0.25">
      <c r="A15" s="143" t="s">
        <v>1899</v>
      </c>
      <c r="B15" s="549" t="s">
        <v>152</v>
      </c>
      <c r="C15" s="550" t="s">
        <v>3104</v>
      </c>
      <c r="D15" s="611" t="s">
        <v>48</v>
      </c>
      <c r="E15" s="424" t="s">
        <v>2622</v>
      </c>
      <c r="F15" s="424" t="s">
        <v>2622</v>
      </c>
      <c r="G15" s="424" t="s">
        <v>2622</v>
      </c>
      <c r="H15" s="424" t="s">
        <v>2622</v>
      </c>
      <c r="I15" s="424" t="s">
        <v>2622</v>
      </c>
      <c r="J15" s="424" t="s">
        <v>2622</v>
      </c>
      <c r="K15" s="424" t="s">
        <v>2622</v>
      </c>
      <c r="L15" s="424" t="s">
        <v>2622</v>
      </c>
      <c r="M15" s="424" t="s">
        <v>2622</v>
      </c>
      <c r="N15" s="424" t="s">
        <v>2622</v>
      </c>
      <c r="O15" s="546"/>
      <c r="P15" s="178" t="str">
        <f t="shared" si="2"/>
        <v>NA</v>
      </c>
      <c r="Q15" s="179" t="str">
        <f t="shared" si="3"/>
        <v>NA</v>
      </c>
    </row>
    <row r="16" spans="1:17" s="270" customFormat="1" ht="14.25" hidden="1" x14ac:dyDescent="0.25">
      <c r="A16" s="143" t="s">
        <v>1900</v>
      </c>
      <c r="B16" s="549" t="s">
        <v>1374</v>
      </c>
      <c r="C16" s="550" t="s">
        <v>3105</v>
      </c>
      <c r="D16" s="611" t="s">
        <v>48</v>
      </c>
      <c r="E16" s="424" t="s">
        <v>2622</v>
      </c>
      <c r="F16" s="424" t="s">
        <v>2622</v>
      </c>
      <c r="G16" s="424" t="s">
        <v>2622</v>
      </c>
      <c r="H16" s="424" t="s">
        <v>2622</v>
      </c>
      <c r="I16" s="424" t="s">
        <v>2622</v>
      </c>
      <c r="J16" s="424" t="s">
        <v>2622</v>
      </c>
      <c r="K16" s="424" t="s">
        <v>2622</v>
      </c>
      <c r="L16" s="424" t="s">
        <v>2622</v>
      </c>
      <c r="M16" s="424" t="s">
        <v>2622</v>
      </c>
      <c r="N16" s="424" t="s">
        <v>2622</v>
      </c>
      <c r="O16" s="546"/>
      <c r="P16" s="178" t="str">
        <f t="shared" si="2"/>
        <v>NA</v>
      </c>
      <c r="Q16" s="179" t="str">
        <f t="shared" si="3"/>
        <v>NA</v>
      </c>
    </row>
    <row r="17" spans="1:17" s="270" customFormat="1" ht="14.25" hidden="1" x14ac:dyDescent="0.25">
      <c r="A17" s="143" t="s">
        <v>1901</v>
      </c>
      <c r="B17" s="549" t="s">
        <v>1375</v>
      </c>
      <c r="C17" s="550" t="s">
        <v>3106</v>
      </c>
      <c r="D17" s="611" t="s">
        <v>48</v>
      </c>
      <c r="E17" s="424" t="s">
        <v>2622</v>
      </c>
      <c r="F17" s="424" t="s">
        <v>2622</v>
      </c>
      <c r="G17" s="424" t="s">
        <v>2622</v>
      </c>
      <c r="H17" s="424" t="s">
        <v>2622</v>
      </c>
      <c r="I17" s="424" t="s">
        <v>2622</v>
      </c>
      <c r="J17" s="424" t="s">
        <v>2622</v>
      </c>
      <c r="K17" s="424" t="s">
        <v>2622</v>
      </c>
      <c r="L17" s="424" t="s">
        <v>2622</v>
      </c>
      <c r="M17" s="424" t="s">
        <v>2622</v>
      </c>
      <c r="N17" s="424" t="s">
        <v>2622</v>
      </c>
      <c r="O17" s="546"/>
      <c r="P17" s="178" t="str">
        <f t="shared" si="2"/>
        <v>NA</v>
      </c>
      <c r="Q17" s="179" t="str">
        <f t="shared" si="3"/>
        <v>NA</v>
      </c>
    </row>
    <row r="18" spans="1:17" s="270" customFormat="1" ht="14.25" hidden="1" x14ac:dyDescent="0.25">
      <c r="A18" s="143" t="s">
        <v>1902</v>
      </c>
      <c r="B18" s="549" t="s">
        <v>1376</v>
      </c>
      <c r="C18" s="550" t="s">
        <v>3107</v>
      </c>
      <c r="D18" s="611" t="s">
        <v>48</v>
      </c>
      <c r="E18" s="424" t="s">
        <v>2622</v>
      </c>
      <c r="F18" s="424" t="s">
        <v>2622</v>
      </c>
      <c r="G18" s="424" t="s">
        <v>2622</v>
      </c>
      <c r="H18" s="424" t="s">
        <v>2622</v>
      </c>
      <c r="I18" s="424" t="s">
        <v>2622</v>
      </c>
      <c r="J18" s="424" t="s">
        <v>2622</v>
      </c>
      <c r="K18" s="424" t="s">
        <v>2622</v>
      </c>
      <c r="L18" s="424" t="s">
        <v>2622</v>
      </c>
      <c r="M18" s="424" t="s">
        <v>2622</v>
      </c>
      <c r="N18" s="424" t="s">
        <v>2622</v>
      </c>
      <c r="O18" s="546"/>
      <c r="P18" s="178" t="str">
        <f t="shared" si="2"/>
        <v>NA</v>
      </c>
      <c r="Q18" s="179" t="str">
        <f t="shared" si="3"/>
        <v>NA</v>
      </c>
    </row>
    <row r="19" spans="1:17" s="270" customFormat="1" ht="14.25" hidden="1" x14ac:dyDescent="0.25">
      <c r="A19" s="143" t="s">
        <v>1903</v>
      </c>
      <c r="B19" s="549" t="s">
        <v>1377</v>
      </c>
      <c r="C19" s="550" t="s">
        <v>3108</v>
      </c>
      <c r="D19" s="611" t="s">
        <v>48</v>
      </c>
      <c r="E19" s="424" t="s">
        <v>2622</v>
      </c>
      <c r="F19" s="424" t="s">
        <v>2622</v>
      </c>
      <c r="G19" s="424" t="s">
        <v>2622</v>
      </c>
      <c r="H19" s="424" t="s">
        <v>2622</v>
      </c>
      <c r="I19" s="424" t="s">
        <v>2622</v>
      </c>
      <c r="J19" s="424" t="s">
        <v>2622</v>
      </c>
      <c r="K19" s="424" t="s">
        <v>2622</v>
      </c>
      <c r="L19" s="424" t="s">
        <v>2622</v>
      </c>
      <c r="M19" s="424" t="s">
        <v>2622</v>
      </c>
      <c r="N19" s="424" t="s">
        <v>2622</v>
      </c>
      <c r="O19" s="546"/>
      <c r="P19" s="178" t="str">
        <f t="shared" si="2"/>
        <v>NA</v>
      </c>
      <c r="Q19" s="179" t="str">
        <f t="shared" si="3"/>
        <v>NA</v>
      </c>
    </row>
    <row r="20" spans="1:17" s="270" customFormat="1" ht="14.25" hidden="1" x14ac:dyDescent="0.25">
      <c r="A20" s="143" t="s">
        <v>1904</v>
      </c>
      <c r="B20" s="549" t="s">
        <v>1378</v>
      </c>
      <c r="C20" s="550" t="s">
        <v>3109</v>
      </c>
      <c r="D20" s="611" t="s">
        <v>48</v>
      </c>
      <c r="E20" s="424" t="s">
        <v>2622</v>
      </c>
      <c r="F20" s="424" t="s">
        <v>2622</v>
      </c>
      <c r="G20" s="424" t="s">
        <v>2622</v>
      </c>
      <c r="H20" s="424" t="s">
        <v>2622</v>
      </c>
      <c r="I20" s="424" t="s">
        <v>2622</v>
      </c>
      <c r="J20" s="424" t="s">
        <v>2622</v>
      </c>
      <c r="K20" s="424" t="s">
        <v>2622</v>
      </c>
      <c r="L20" s="424" t="s">
        <v>2622</v>
      </c>
      <c r="M20" s="424" t="s">
        <v>2622</v>
      </c>
      <c r="N20" s="424" t="s">
        <v>2622</v>
      </c>
      <c r="O20" s="546"/>
      <c r="P20" s="178" t="str">
        <f t="shared" si="2"/>
        <v>NA</v>
      </c>
      <c r="Q20" s="179" t="str">
        <f t="shared" si="3"/>
        <v>NA</v>
      </c>
    </row>
    <row r="21" spans="1:17" s="270" customFormat="1" ht="14.25" hidden="1" x14ac:dyDescent="0.25">
      <c r="A21" s="143" t="s">
        <v>1905</v>
      </c>
      <c r="B21" s="549" t="s">
        <v>1379</v>
      </c>
      <c r="C21" s="550" t="s">
        <v>3110</v>
      </c>
      <c r="D21" s="611" t="s">
        <v>48</v>
      </c>
      <c r="E21" s="424" t="s">
        <v>2622</v>
      </c>
      <c r="F21" s="424" t="s">
        <v>2622</v>
      </c>
      <c r="G21" s="424" t="s">
        <v>2622</v>
      </c>
      <c r="H21" s="424" t="s">
        <v>2622</v>
      </c>
      <c r="I21" s="424" t="s">
        <v>2622</v>
      </c>
      <c r="J21" s="424" t="s">
        <v>2622</v>
      </c>
      <c r="K21" s="424" t="s">
        <v>2622</v>
      </c>
      <c r="L21" s="424" t="s">
        <v>2622</v>
      </c>
      <c r="M21" s="424" t="s">
        <v>2622</v>
      </c>
      <c r="N21" s="424" t="s">
        <v>2622</v>
      </c>
      <c r="O21" s="546"/>
      <c r="P21" s="178" t="str">
        <f t="shared" si="2"/>
        <v>NA</v>
      </c>
      <c r="Q21" s="179" t="str">
        <f t="shared" si="3"/>
        <v>NA</v>
      </c>
    </row>
    <row r="22" spans="1:17" s="270" customFormat="1" ht="14.25" hidden="1" x14ac:dyDescent="0.25">
      <c r="A22" s="143" t="s">
        <v>1906</v>
      </c>
      <c r="B22" s="549" t="s">
        <v>1380</v>
      </c>
      <c r="C22" s="550" t="s">
        <v>3111</v>
      </c>
      <c r="D22" s="611" t="s">
        <v>48</v>
      </c>
      <c r="E22" s="424" t="s">
        <v>2622</v>
      </c>
      <c r="F22" s="424" t="s">
        <v>2622</v>
      </c>
      <c r="G22" s="424" t="s">
        <v>2622</v>
      </c>
      <c r="H22" s="424" t="s">
        <v>2622</v>
      </c>
      <c r="I22" s="424" t="s">
        <v>2622</v>
      </c>
      <c r="J22" s="424" t="s">
        <v>2622</v>
      </c>
      <c r="K22" s="424" t="s">
        <v>2622</v>
      </c>
      <c r="L22" s="424" t="s">
        <v>2622</v>
      </c>
      <c r="M22" s="424" t="s">
        <v>2622</v>
      </c>
      <c r="N22" s="424" t="s">
        <v>2622</v>
      </c>
      <c r="O22" s="546"/>
      <c r="P22" s="178" t="str">
        <f t="shared" si="2"/>
        <v>NA</v>
      </c>
      <c r="Q22" s="179" t="str">
        <f t="shared" si="3"/>
        <v>NA</v>
      </c>
    </row>
    <row r="23" spans="1:17" ht="14.25" hidden="1" x14ac:dyDescent="0.25">
      <c r="A23" s="143" t="s">
        <v>1907</v>
      </c>
      <c r="B23" s="549" t="s">
        <v>1381</v>
      </c>
      <c r="C23" s="550" t="s">
        <v>3474</v>
      </c>
      <c r="D23" s="611" t="s">
        <v>48</v>
      </c>
      <c r="E23" s="424" t="s">
        <v>2622</v>
      </c>
      <c r="F23" s="424" t="s">
        <v>2622</v>
      </c>
      <c r="G23" s="424" t="s">
        <v>2622</v>
      </c>
      <c r="H23" s="424" t="s">
        <v>2622</v>
      </c>
      <c r="I23" s="424" t="s">
        <v>2622</v>
      </c>
      <c r="J23" s="424" t="s">
        <v>2622</v>
      </c>
      <c r="K23" s="424" t="s">
        <v>2622</v>
      </c>
      <c r="L23" s="424" t="s">
        <v>2622</v>
      </c>
      <c r="M23" s="424" t="s">
        <v>2622</v>
      </c>
      <c r="N23" s="424" t="s">
        <v>2622</v>
      </c>
      <c r="O23" s="546"/>
      <c r="P23" s="178" t="str">
        <f t="shared" si="2"/>
        <v>NA</v>
      </c>
      <c r="Q23" s="179" t="str">
        <f t="shared" si="3"/>
        <v>NA</v>
      </c>
    </row>
    <row r="24" spans="1:17" ht="14.25" hidden="1" x14ac:dyDescent="0.25">
      <c r="A24" s="143" t="s">
        <v>1908</v>
      </c>
      <c r="B24" s="549" t="s">
        <v>1382</v>
      </c>
      <c r="C24" s="550" t="s">
        <v>3475</v>
      </c>
      <c r="D24" s="611" t="s">
        <v>48</v>
      </c>
      <c r="E24" s="424" t="s">
        <v>2622</v>
      </c>
      <c r="F24" s="424" t="s">
        <v>2622</v>
      </c>
      <c r="G24" s="424" t="s">
        <v>2622</v>
      </c>
      <c r="H24" s="424" t="s">
        <v>2622</v>
      </c>
      <c r="I24" s="424" t="s">
        <v>2622</v>
      </c>
      <c r="J24" s="424" t="s">
        <v>2622</v>
      </c>
      <c r="K24" s="424" t="s">
        <v>2622</v>
      </c>
      <c r="L24" s="424" t="s">
        <v>2622</v>
      </c>
      <c r="M24" s="424" t="s">
        <v>2622</v>
      </c>
      <c r="N24" s="424" t="s">
        <v>2622</v>
      </c>
      <c r="O24" s="546"/>
      <c r="P24" s="178" t="str">
        <f t="shared" si="2"/>
        <v>NA</v>
      </c>
      <c r="Q24" s="179" t="str">
        <f t="shared" si="3"/>
        <v>NA</v>
      </c>
    </row>
    <row r="25" spans="1:17" ht="14.25" x14ac:dyDescent="0.25">
      <c r="A25" s="143" t="s">
        <v>1909</v>
      </c>
      <c r="B25" s="551" t="s">
        <v>1383</v>
      </c>
      <c r="C25" s="553" t="s">
        <v>3476</v>
      </c>
      <c r="D25" s="632" t="s">
        <v>48</v>
      </c>
      <c r="E25" s="92">
        <v>-4402.0775080000067</v>
      </c>
      <c r="F25" s="92">
        <v>-350.75179600000001</v>
      </c>
      <c r="G25" s="92">
        <v>0</v>
      </c>
      <c r="H25" s="92">
        <f>E25+F25+G25</f>
        <v>-4752.8293040000062</v>
      </c>
      <c r="I25" s="92">
        <v>-283.87622399999998</v>
      </c>
      <c r="J25" s="92">
        <v>-1607.442174</v>
      </c>
      <c r="K25" s="92">
        <v>-645.13236599999993</v>
      </c>
      <c r="L25" s="92">
        <v>0</v>
      </c>
      <c r="M25" s="92">
        <f>SUM(H25:L25)</f>
        <v>-7289.2800680000055</v>
      </c>
      <c r="N25" s="92">
        <f>H25+I25</f>
        <v>-5036.7055280000059</v>
      </c>
      <c r="O25" s="546"/>
      <c r="P25" s="237">
        <f t="shared" si="2"/>
        <v>0</v>
      </c>
      <c r="Q25" s="238">
        <f t="shared" si="3"/>
        <v>0</v>
      </c>
    </row>
    <row r="26" spans="1:17" s="270" customFormat="1" ht="11.65" hidden="1" customHeight="1" x14ac:dyDescent="0.25">
      <c r="A26" s="143" t="s">
        <v>1910</v>
      </c>
      <c r="B26" s="549" t="s">
        <v>1384</v>
      </c>
      <c r="C26" s="550" t="s">
        <v>3113</v>
      </c>
      <c r="D26" s="532" t="s">
        <v>48</v>
      </c>
      <c r="E26" s="424" t="s">
        <v>2622</v>
      </c>
      <c r="F26" s="424" t="s">
        <v>2622</v>
      </c>
      <c r="G26" s="424" t="s">
        <v>2622</v>
      </c>
      <c r="H26" s="424" t="s">
        <v>2622</v>
      </c>
      <c r="I26" s="424" t="s">
        <v>2622</v>
      </c>
      <c r="J26" s="424" t="s">
        <v>2622</v>
      </c>
      <c r="K26" s="424" t="s">
        <v>2622</v>
      </c>
      <c r="L26" s="424" t="s">
        <v>2622</v>
      </c>
      <c r="M26" s="424" t="s">
        <v>2622</v>
      </c>
      <c r="N26" s="424" t="s">
        <v>2622</v>
      </c>
      <c r="O26" s="546"/>
      <c r="P26" s="178" t="str">
        <f t="shared" si="2"/>
        <v>NA</v>
      </c>
      <c r="Q26" s="179" t="str">
        <f t="shared" si="3"/>
        <v>NA</v>
      </c>
    </row>
    <row r="27" spans="1:17" s="270" customFormat="1" ht="10.35" hidden="1" customHeight="1" x14ac:dyDescent="0.25">
      <c r="A27" s="143" t="s">
        <v>1911</v>
      </c>
      <c r="B27" s="549" t="s">
        <v>1385</v>
      </c>
      <c r="C27" s="550" t="s">
        <v>3114</v>
      </c>
      <c r="D27" s="532" t="s">
        <v>48</v>
      </c>
      <c r="E27" s="424" t="s">
        <v>2622</v>
      </c>
      <c r="F27" s="424" t="s">
        <v>2622</v>
      </c>
      <c r="G27" s="424" t="s">
        <v>2622</v>
      </c>
      <c r="H27" s="424" t="s">
        <v>2622</v>
      </c>
      <c r="I27" s="424" t="s">
        <v>2622</v>
      </c>
      <c r="J27" s="424" t="s">
        <v>2622</v>
      </c>
      <c r="K27" s="424" t="s">
        <v>2622</v>
      </c>
      <c r="L27" s="424" t="s">
        <v>2622</v>
      </c>
      <c r="M27" s="424" t="s">
        <v>2622</v>
      </c>
      <c r="N27" s="424" t="s">
        <v>2622</v>
      </c>
      <c r="O27" s="546"/>
      <c r="P27" s="178" t="str">
        <f t="shared" si="2"/>
        <v>NA</v>
      </c>
      <c r="Q27" s="179" t="str">
        <f t="shared" si="3"/>
        <v>NA</v>
      </c>
    </row>
    <row r="28" spans="1:17" s="270" customFormat="1" ht="10.35" hidden="1" customHeight="1" x14ac:dyDescent="0.25">
      <c r="A28" s="143" t="s">
        <v>1912</v>
      </c>
      <c r="B28" s="549" t="s">
        <v>1386</v>
      </c>
      <c r="C28" s="550" t="s">
        <v>3115</v>
      </c>
      <c r="D28" s="532" t="s">
        <v>48</v>
      </c>
      <c r="E28" s="424" t="s">
        <v>2622</v>
      </c>
      <c r="F28" s="424" t="s">
        <v>2622</v>
      </c>
      <c r="G28" s="424" t="s">
        <v>2622</v>
      </c>
      <c r="H28" s="424" t="s">
        <v>2622</v>
      </c>
      <c r="I28" s="424" t="s">
        <v>2622</v>
      </c>
      <c r="J28" s="424" t="s">
        <v>2622</v>
      </c>
      <c r="K28" s="424" t="s">
        <v>2622</v>
      </c>
      <c r="L28" s="424" t="s">
        <v>2622</v>
      </c>
      <c r="M28" s="424" t="s">
        <v>2622</v>
      </c>
      <c r="N28" s="424" t="s">
        <v>2622</v>
      </c>
      <c r="O28" s="546"/>
      <c r="P28" s="178" t="str">
        <f t="shared" si="2"/>
        <v>NA</v>
      </c>
      <c r="Q28" s="179" t="str">
        <f t="shared" si="3"/>
        <v>NA</v>
      </c>
    </row>
    <row r="29" spans="1:17" s="270" customFormat="1" ht="10.35" hidden="1" customHeight="1" x14ac:dyDescent="0.25">
      <c r="A29" s="143" t="s">
        <v>1913</v>
      </c>
      <c r="B29" s="549" t="s">
        <v>1387</v>
      </c>
      <c r="C29" s="550" t="s">
        <v>3116</v>
      </c>
      <c r="D29" s="532" t="s">
        <v>48</v>
      </c>
      <c r="E29" s="424" t="s">
        <v>2622</v>
      </c>
      <c r="F29" s="424" t="s">
        <v>2622</v>
      </c>
      <c r="G29" s="424" t="s">
        <v>2622</v>
      </c>
      <c r="H29" s="424" t="s">
        <v>2622</v>
      </c>
      <c r="I29" s="424" t="s">
        <v>2622</v>
      </c>
      <c r="J29" s="424" t="s">
        <v>2622</v>
      </c>
      <c r="K29" s="424" t="s">
        <v>2622</v>
      </c>
      <c r="L29" s="424" t="s">
        <v>2622</v>
      </c>
      <c r="M29" s="424" t="s">
        <v>2622</v>
      </c>
      <c r="N29" s="424" t="s">
        <v>2622</v>
      </c>
      <c r="O29" s="546"/>
      <c r="P29" s="178" t="str">
        <f t="shared" si="2"/>
        <v>NA</v>
      </c>
      <c r="Q29" s="179" t="str">
        <f t="shared" si="3"/>
        <v>NA</v>
      </c>
    </row>
    <row r="30" spans="1:17" s="270" customFormat="1" ht="10.35" hidden="1" customHeight="1" x14ac:dyDescent="0.25">
      <c r="A30" s="143" t="s">
        <v>1914</v>
      </c>
      <c r="B30" s="549" t="s">
        <v>1388</v>
      </c>
      <c r="C30" s="550" t="s">
        <v>3117</v>
      </c>
      <c r="D30" s="532" t="s">
        <v>48</v>
      </c>
      <c r="E30" s="424" t="s">
        <v>2622</v>
      </c>
      <c r="F30" s="424" t="s">
        <v>2622</v>
      </c>
      <c r="G30" s="424" t="s">
        <v>2622</v>
      </c>
      <c r="H30" s="424" t="s">
        <v>2622</v>
      </c>
      <c r="I30" s="424" t="s">
        <v>2622</v>
      </c>
      <c r="J30" s="424" t="s">
        <v>2622</v>
      </c>
      <c r="K30" s="424" t="s">
        <v>2622</v>
      </c>
      <c r="L30" s="424" t="s">
        <v>2622</v>
      </c>
      <c r="M30" s="424" t="s">
        <v>2622</v>
      </c>
      <c r="N30" s="424" t="s">
        <v>2622</v>
      </c>
      <c r="O30" s="546"/>
      <c r="P30" s="178" t="str">
        <f t="shared" si="2"/>
        <v>NA</v>
      </c>
      <c r="Q30" s="179" t="str">
        <f t="shared" si="3"/>
        <v>NA</v>
      </c>
    </row>
    <row r="31" spans="1:17" s="270" customFormat="1" ht="10.35" hidden="1" customHeight="1" x14ac:dyDescent="0.25">
      <c r="A31" s="143" t="s">
        <v>1915</v>
      </c>
      <c r="B31" s="549" t="s">
        <v>1389</v>
      </c>
      <c r="C31" s="550" t="s">
        <v>3118</v>
      </c>
      <c r="D31" s="532" t="s">
        <v>48</v>
      </c>
      <c r="E31" s="424" t="s">
        <v>2622</v>
      </c>
      <c r="F31" s="424" t="s">
        <v>2622</v>
      </c>
      <c r="G31" s="424" t="s">
        <v>2622</v>
      </c>
      <c r="H31" s="424" t="s">
        <v>2622</v>
      </c>
      <c r="I31" s="424" t="s">
        <v>2622</v>
      </c>
      <c r="J31" s="424" t="s">
        <v>2622</v>
      </c>
      <c r="K31" s="424" t="s">
        <v>2622</v>
      </c>
      <c r="L31" s="424" t="s">
        <v>2622</v>
      </c>
      <c r="M31" s="424" t="s">
        <v>2622</v>
      </c>
      <c r="N31" s="424" t="s">
        <v>2622</v>
      </c>
      <c r="O31" s="546"/>
      <c r="P31" s="178" t="str">
        <f t="shared" si="2"/>
        <v>NA</v>
      </c>
      <c r="Q31" s="179" t="str">
        <f t="shared" si="3"/>
        <v>NA</v>
      </c>
    </row>
    <row r="32" spans="1:17" s="270" customFormat="1" ht="10.35" hidden="1" customHeight="1" x14ac:dyDescent="0.25">
      <c r="A32" s="143" t="s">
        <v>1916</v>
      </c>
      <c r="B32" s="549" t="s">
        <v>1390</v>
      </c>
      <c r="C32" s="550" t="s">
        <v>3119</v>
      </c>
      <c r="D32" s="532" t="s">
        <v>48</v>
      </c>
      <c r="E32" s="424" t="s">
        <v>2622</v>
      </c>
      <c r="F32" s="424" t="s">
        <v>2622</v>
      </c>
      <c r="G32" s="424" t="s">
        <v>2622</v>
      </c>
      <c r="H32" s="424" t="s">
        <v>2622</v>
      </c>
      <c r="I32" s="424" t="s">
        <v>2622</v>
      </c>
      <c r="J32" s="424" t="s">
        <v>2622</v>
      </c>
      <c r="K32" s="424" t="s">
        <v>2622</v>
      </c>
      <c r="L32" s="424" t="s">
        <v>2622</v>
      </c>
      <c r="M32" s="424" t="s">
        <v>2622</v>
      </c>
      <c r="N32" s="424" t="s">
        <v>2622</v>
      </c>
      <c r="O32" s="546"/>
      <c r="P32" s="178" t="str">
        <f t="shared" si="2"/>
        <v>NA</v>
      </c>
      <c r="Q32" s="179" t="str">
        <f t="shared" si="3"/>
        <v>NA</v>
      </c>
    </row>
    <row r="33" spans="1:17" s="270" customFormat="1" ht="10.35" hidden="1" customHeight="1" x14ac:dyDescent="0.25">
      <c r="A33" s="143" t="s">
        <v>1917</v>
      </c>
      <c r="B33" s="549" t="s">
        <v>1391</v>
      </c>
      <c r="C33" s="550" t="s">
        <v>3120</v>
      </c>
      <c r="D33" s="532" t="s">
        <v>48</v>
      </c>
      <c r="E33" s="424" t="s">
        <v>2622</v>
      </c>
      <c r="F33" s="424" t="s">
        <v>2622</v>
      </c>
      <c r="G33" s="424" t="s">
        <v>2622</v>
      </c>
      <c r="H33" s="424" t="s">
        <v>2622</v>
      </c>
      <c r="I33" s="424" t="s">
        <v>2622</v>
      </c>
      <c r="J33" s="424" t="s">
        <v>2622</v>
      </c>
      <c r="K33" s="424" t="s">
        <v>2622</v>
      </c>
      <c r="L33" s="424" t="s">
        <v>2622</v>
      </c>
      <c r="M33" s="424" t="s">
        <v>2622</v>
      </c>
      <c r="N33" s="424" t="s">
        <v>2622</v>
      </c>
      <c r="O33" s="546"/>
      <c r="P33" s="178" t="str">
        <f t="shared" si="2"/>
        <v>NA</v>
      </c>
      <c r="Q33" s="179" t="str">
        <f t="shared" si="3"/>
        <v>NA</v>
      </c>
    </row>
    <row r="34" spans="1:17" ht="15" hidden="1" customHeight="1" x14ac:dyDescent="0.25">
      <c r="A34" s="143" t="s">
        <v>1918</v>
      </c>
      <c r="B34" s="547" t="s">
        <v>1392</v>
      </c>
      <c r="C34" s="601" t="s">
        <v>3477</v>
      </c>
      <c r="D34" s="532" t="s">
        <v>48</v>
      </c>
      <c r="E34" s="424" t="s">
        <v>2622</v>
      </c>
      <c r="F34" s="424" t="s">
        <v>2622</v>
      </c>
      <c r="G34" s="424" t="s">
        <v>2622</v>
      </c>
      <c r="H34" s="424" t="s">
        <v>2622</v>
      </c>
      <c r="I34" s="424" t="s">
        <v>2622</v>
      </c>
      <c r="J34" s="424" t="s">
        <v>2622</v>
      </c>
      <c r="K34" s="424" t="s">
        <v>2622</v>
      </c>
      <c r="L34" s="424" t="s">
        <v>2622</v>
      </c>
      <c r="M34" s="424" t="s">
        <v>2622</v>
      </c>
      <c r="N34" s="424" t="s">
        <v>2622</v>
      </c>
      <c r="O34" s="546"/>
      <c r="P34" s="178" t="str">
        <f t="shared" si="2"/>
        <v>NA</v>
      </c>
      <c r="Q34" s="179" t="str">
        <f t="shared" si="3"/>
        <v>NA</v>
      </c>
    </row>
    <row r="35" spans="1:17" ht="15" hidden="1" customHeight="1" x14ac:dyDescent="0.25">
      <c r="A35" s="143" t="s">
        <v>1919</v>
      </c>
      <c r="B35" s="627" t="s">
        <v>1393</v>
      </c>
      <c r="C35" s="628" t="s">
        <v>3478</v>
      </c>
      <c r="D35" s="537" t="s">
        <v>48</v>
      </c>
      <c r="E35" s="424" t="s">
        <v>2622</v>
      </c>
      <c r="F35" s="424" t="s">
        <v>2622</v>
      </c>
      <c r="G35" s="424" t="s">
        <v>2622</v>
      </c>
      <c r="H35" s="424" t="s">
        <v>2622</v>
      </c>
      <c r="I35" s="424" t="s">
        <v>2622</v>
      </c>
      <c r="J35" s="424" t="s">
        <v>2622</v>
      </c>
      <c r="K35" s="424" t="s">
        <v>2622</v>
      </c>
      <c r="L35" s="424" t="s">
        <v>2622</v>
      </c>
      <c r="M35" s="424" t="s">
        <v>2622</v>
      </c>
      <c r="N35" s="424" t="s">
        <v>2622</v>
      </c>
      <c r="O35" s="546"/>
      <c r="P35" s="188" t="str">
        <f t="shared" si="2"/>
        <v>NA</v>
      </c>
      <c r="Q35" s="189" t="str">
        <f t="shared" si="3"/>
        <v>NA</v>
      </c>
    </row>
    <row r="36" spans="1:17" ht="15" customHeight="1" x14ac:dyDescent="0.25">
      <c r="A36" s="143"/>
      <c r="B36" s="591" t="s">
        <v>990</v>
      </c>
      <c r="C36" s="568" t="s">
        <v>2768</v>
      </c>
      <c r="D36" s="532" t="s">
        <v>48</v>
      </c>
      <c r="E36" s="652" t="s">
        <v>990</v>
      </c>
      <c r="F36" s="652" t="s">
        <v>990</v>
      </c>
      <c r="G36" s="652" t="s">
        <v>990</v>
      </c>
      <c r="H36" s="748" t="s">
        <v>990</v>
      </c>
      <c r="I36" s="652" t="s">
        <v>990</v>
      </c>
      <c r="J36" s="652" t="s">
        <v>990</v>
      </c>
      <c r="K36" s="748" t="s">
        <v>990</v>
      </c>
      <c r="L36" s="652" t="s">
        <v>990</v>
      </c>
      <c r="M36" s="749" t="s">
        <v>990</v>
      </c>
      <c r="N36" s="652" t="s">
        <v>990</v>
      </c>
      <c r="O36" s="546"/>
      <c r="P36" s="178"/>
      <c r="Q36" s="179"/>
    </row>
    <row r="37" spans="1:17" ht="10.35" customHeight="1" x14ac:dyDescent="0.25">
      <c r="A37" s="143" t="s">
        <v>1920</v>
      </c>
      <c r="B37" s="536" t="s">
        <v>35</v>
      </c>
      <c r="C37" s="563" t="s">
        <v>3479</v>
      </c>
      <c r="D37" s="537" t="s">
        <v>48</v>
      </c>
      <c r="E37" s="153">
        <v>-11878.049084999995</v>
      </c>
      <c r="F37" s="153">
        <v>65.325568000000032</v>
      </c>
      <c r="G37" s="153">
        <v>0</v>
      </c>
      <c r="H37" s="153">
        <f>E37+F37+G37</f>
        <v>-11812.723516999995</v>
      </c>
      <c r="I37" s="153">
        <v>965.11191000000008</v>
      </c>
      <c r="J37" s="153">
        <v>2133.919226</v>
      </c>
      <c r="K37" s="153">
        <v>-2607.0261069999997</v>
      </c>
      <c r="L37" s="153">
        <v>0</v>
      </c>
      <c r="M37" s="153">
        <f>SUM(H37:L37)</f>
        <v>-11320.718487999995</v>
      </c>
      <c r="N37" s="153">
        <f>H37+I37</f>
        <v>-10847.611606999995</v>
      </c>
      <c r="O37" s="546"/>
      <c r="P37" s="178">
        <f>IF(OR(H37="NA",E37="NA",F37="NA",G37="NA"),"NA",SUM(H37)-SUM(E37:G37))</f>
        <v>0</v>
      </c>
      <c r="Q37" s="179">
        <f>IF(OR(M37="NA",H37="NA",I37="NA",J37="NA",K37="NA",L37="NA"),"NA",SUM(M37)-SUM(H37:L37))</f>
        <v>0</v>
      </c>
    </row>
    <row r="38" spans="1:17" ht="10.35" hidden="1" customHeight="1" x14ac:dyDescent="0.25">
      <c r="A38" s="143" t="s">
        <v>2313</v>
      </c>
      <c r="B38" s="549" t="s">
        <v>36</v>
      </c>
      <c r="C38" s="550" t="s">
        <v>3480</v>
      </c>
      <c r="D38" s="532" t="s">
        <v>48</v>
      </c>
      <c r="E38" s="424" t="s">
        <v>2622</v>
      </c>
      <c r="F38" s="424" t="s">
        <v>2622</v>
      </c>
      <c r="G38" s="424" t="s">
        <v>2622</v>
      </c>
      <c r="H38" s="424" t="s">
        <v>2622</v>
      </c>
      <c r="I38" s="424" t="s">
        <v>2622</v>
      </c>
      <c r="J38" s="424" t="s">
        <v>2622</v>
      </c>
      <c r="K38" s="424" t="s">
        <v>2622</v>
      </c>
      <c r="L38" s="424" t="s">
        <v>2622</v>
      </c>
      <c r="M38" s="424" t="s">
        <v>2622</v>
      </c>
      <c r="N38" s="424" t="s">
        <v>2622</v>
      </c>
      <c r="O38" s="546"/>
      <c r="P38" s="178" t="str">
        <f>IF(OR(H38="NA",E38="NA",F38="NA",G38="NA"),"NA",SUM(H38)-SUM(E38:G38))</f>
        <v>NA</v>
      </c>
      <c r="Q38" s="179" t="str">
        <f>IF(OR(M38="NA",H38="NA",I38="NA",J38="NA",K38="NA",L38="NA"),"NA",SUM(M38)-SUM(H38:L38))</f>
        <v>NA</v>
      </c>
    </row>
    <row r="39" spans="1:17" ht="10.35" hidden="1" customHeight="1" x14ac:dyDescent="0.25">
      <c r="A39" s="143" t="s">
        <v>2314</v>
      </c>
      <c r="B39" s="549" t="s">
        <v>667</v>
      </c>
      <c r="C39" s="602" t="s">
        <v>3481</v>
      </c>
      <c r="D39" s="532" t="s">
        <v>48</v>
      </c>
      <c r="E39" s="424" t="s">
        <v>2622</v>
      </c>
      <c r="F39" s="424" t="s">
        <v>2622</v>
      </c>
      <c r="G39" s="424" t="s">
        <v>2622</v>
      </c>
      <c r="H39" s="424" t="s">
        <v>2622</v>
      </c>
      <c r="I39" s="424" t="s">
        <v>2622</v>
      </c>
      <c r="J39" s="424" t="s">
        <v>2622</v>
      </c>
      <c r="K39" s="424" t="s">
        <v>2622</v>
      </c>
      <c r="L39" s="424" t="s">
        <v>2622</v>
      </c>
      <c r="M39" s="424" t="s">
        <v>2622</v>
      </c>
      <c r="N39" s="424" t="s">
        <v>2622</v>
      </c>
      <c r="O39" s="546"/>
      <c r="P39" s="178" t="str">
        <f>IF(OR(H39="NA",E39="NA",F39="NA",G39="NA"),"NA",SUM(H39)-SUM(E39:G39))</f>
        <v>NA</v>
      </c>
      <c r="Q39" s="179" t="str">
        <f>IF(OR(M39="NA",H39="NA",I39="NA",J39="NA",K39="NA",L39="NA"),"NA",SUM(M39)-SUM(H39:L39))</f>
        <v>NA</v>
      </c>
    </row>
    <row r="40" spans="1:17" ht="10.35" hidden="1" customHeight="1" x14ac:dyDescent="0.25">
      <c r="A40" s="143" t="s">
        <v>2315</v>
      </c>
      <c r="B40" s="549" t="s">
        <v>668</v>
      </c>
      <c r="C40" s="602" t="s">
        <v>3482</v>
      </c>
      <c r="D40" s="532" t="s">
        <v>48</v>
      </c>
      <c r="E40" s="424" t="s">
        <v>2622</v>
      </c>
      <c r="F40" s="424" t="s">
        <v>2622</v>
      </c>
      <c r="G40" s="424" t="s">
        <v>2622</v>
      </c>
      <c r="H40" s="424" t="s">
        <v>2622</v>
      </c>
      <c r="I40" s="424" t="s">
        <v>2622</v>
      </c>
      <c r="J40" s="424" t="s">
        <v>2622</v>
      </c>
      <c r="K40" s="424" t="s">
        <v>2622</v>
      </c>
      <c r="L40" s="424" t="s">
        <v>2622</v>
      </c>
      <c r="M40" s="424" t="s">
        <v>2622</v>
      </c>
      <c r="N40" s="424" t="s">
        <v>2622</v>
      </c>
      <c r="O40" s="546"/>
      <c r="P40" s="178" t="str">
        <f>IF(OR(H40="NA",E40="NA",F40="NA",G40="NA"),"NA",SUM(H40)-SUM(E40:G40))</f>
        <v>NA</v>
      </c>
      <c r="Q40" s="179" t="str">
        <f>IF(OR(M40="NA",H40="NA",I40="NA",J40="NA",K40="NA",L40="NA"),"NA",SUM(M40)-SUM(H40:L40))</f>
        <v>NA</v>
      </c>
    </row>
    <row r="41" spans="1:17" ht="10.35" hidden="1" customHeight="1" x14ac:dyDescent="0.25">
      <c r="A41" s="143" t="s">
        <v>2316</v>
      </c>
      <c r="B41" s="536" t="s">
        <v>669</v>
      </c>
      <c r="C41" s="608" t="s">
        <v>3483</v>
      </c>
      <c r="D41" s="537" t="s">
        <v>48</v>
      </c>
      <c r="E41" s="424" t="s">
        <v>2622</v>
      </c>
      <c r="F41" s="424" t="s">
        <v>2622</v>
      </c>
      <c r="G41" s="424" t="s">
        <v>2622</v>
      </c>
      <c r="H41" s="424" t="s">
        <v>2622</v>
      </c>
      <c r="I41" s="424" t="s">
        <v>2622</v>
      </c>
      <c r="J41" s="424" t="s">
        <v>2622</v>
      </c>
      <c r="K41" s="424" t="s">
        <v>2622</v>
      </c>
      <c r="L41" s="424" t="s">
        <v>2622</v>
      </c>
      <c r="M41" s="424" t="s">
        <v>2622</v>
      </c>
      <c r="N41" s="424" t="s">
        <v>2622</v>
      </c>
      <c r="O41" s="546"/>
      <c r="P41" s="188" t="str">
        <f>IF(OR(H41="NA",E41="NA",F41="NA",G41="NA"),"NA",SUM(H41)-SUM(E41:G41))</f>
        <v>NA</v>
      </c>
      <c r="Q41" s="189" t="str">
        <f>IF(OR(M41="NA",H41="NA",I41="NA",J41="NA",K41="NA",L41="NA"),"NA",SUM(M41)-SUM(H41:L41))</f>
        <v>NA</v>
      </c>
    </row>
    <row r="42" spans="1:17" ht="10.5" customHeight="1" x14ac:dyDescent="0.2">
      <c r="B42" s="580"/>
      <c r="C42" s="602"/>
      <c r="D42" s="531"/>
      <c r="E42" s="581"/>
      <c r="F42" s="581"/>
      <c r="G42" s="581"/>
      <c r="H42" s="581"/>
      <c r="I42" s="581"/>
      <c r="J42" s="581"/>
      <c r="K42" s="581"/>
      <c r="L42" s="581"/>
      <c r="M42" s="581"/>
      <c r="N42" s="581"/>
      <c r="O42" s="616"/>
      <c r="P42" s="258"/>
      <c r="Q42" s="258"/>
    </row>
    <row r="43" spans="1:17" s="279" customFormat="1" ht="15" customHeight="1" x14ac:dyDescent="0.2">
      <c r="B43" s="272" t="s">
        <v>3484</v>
      </c>
      <c r="C43" s="195"/>
      <c r="D43" s="195"/>
      <c r="E43" s="239"/>
      <c r="F43" s="239"/>
      <c r="G43" s="239"/>
      <c r="H43" s="239"/>
      <c r="I43" s="239"/>
      <c r="J43" s="239"/>
      <c r="K43" s="239"/>
      <c r="L43" s="239"/>
      <c r="M43" s="239"/>
      <c r="N43" s="240"/>
      <c r="O43" s="288"/>
      <c r="P43" s="280"/>
      <c r="Q43" s="280"/>
    </row>
    <row r="44" spans="1:17" ht="12.95" customHeight="1" x14ac:dyDescent="0.2">
      <c r="B44" s="273" t="s">
        <v>2776</v>
      </c>
      <c r="C44" s="207"/>
      <c r="D44" s="103" t="s">
        <v>48</v>
      </c>
      <c r="E44" s="242"/>
      <c r="F44" s="242"/>
      <c r="G44" s="242"/>
      <c r="H44" s="242"/>
      <c r="I44" s="242"/>
      <c r="J44" s="242"/>
      <c r="K44" s="242"/>
      <c r="L44" s="242"/>
      <c r="M44" s="242"/>
      <c r="N44" s="242"/>
      <c r="O44" s="202"/>
      <c r="P44" s="258"/>
      <c r="Q44" s="258"/>
    </row>
    <row r="45" spans="1:17" ht="10.35" customHeight="1" x14ac:dyDescent="0.2">
      <c r="B45" s="273"/>
      <c r="C45" s="136" t="s">
        <v>927</v>
      </c>
      <c r="D45" s="103" t="s">
        <v>48</v>
      </c>
      <c r="E45" s="243">
        <f t="shared" ref="E45:N45" si="4">IF(OR(E8="NA",E9="NA",E14="NA",E25="NA"),"NA",-SUM(E8)+SUM(E9)+SUM(E14)-SUM(E25))</f>
        <v>9.0949470177292824E-13</v>
      </c>
      <c r="F45" s="243">
        <f t="shared" si="4"/>
        <v>-5.6843418860808015E-14</v>
      </c>
      <c r="G45" s="243">
        <f t="shared" si="4"/>
        <v>0</v>
      </c>
      <c r="H45" s="243">
        <f t="shared" si="4"/>
        <v>0</v>
      </c>
      <c r="I45" s="243">
        <f t="shared" si="4"/>
        <v>0</v>
      </c>
      <c r="J45" s="243">
        <f t="shared" si="4"/>
        <v>-2.2737367544323206E-13</v>
      </c>
      <c r="K45" s="243">
        <f t="shared" si="4"/>
        <v>1.1368683772161603E-13</v>
      </c>
      <c r="L45" s="243">
        <f t="shared" si="4"/>
        <v>0</v>
      </c>
      <c r="M45" s="243">
        <f t="shared" si="4"/>
        <v>0</v>
      </c>
      <c r="N45" s="243">
        <f t="shared" si="4"/>
        <v>0</v>
      </c>
      <c r="O45" s="202"/>
      <c r="P45" s="258"/>
      <c r="Q45" s="258"/>
    </row>
    <row r="46" spans="1:17" ht="10.35" hidden="1" customHeight="1" x14ac:dyDescent="0.2">
      <c r="B46" s="274"/>
      <c r="C46" s="136" t="s">
        <v>928</v>
      </c>
      <c r="D46" s="76" t="s">
        <v>48</v>
      </c>
      <c r="E46" s="243" t="str">
        <f t="shared" ref="E46:N46" si="5">IF(OR(E9="NA",E10="NA",E11="NA",E12="NA",E13="NA"),"NA",-SUM(E9)+SUM(E10)+SUM(E11)+SUM(E12)+SUM(E13))</f>
        <v>NA</v>
      </c>
      <c r="F46" s="243" t="str">
        <f t="shared" si="5"/>
        <v>NA</v>
      </c>
      <c r="G46" s="243" t="str">
        <f t="shared" si="5"/>
        <v>NA</v>
      </c>
      <c r="H46" s="243" t="str">
        <f t="shared" si="5"/>
        <v>NA</v>
      </c>
      <c r="I46" s="243" t="str">
        <f t="shared" si="5"/>
        <v>NA</v>
      </c>
      <c r="J46" s="243" t="str">
        <f t="shared" si="5"/>
        <v>NA</v>
      </c>
      <c r="K46" s="243" t="str">
        <f t="shared" si="5"/>
        <v>NA</v>
      </c>
      <c r="L46" s="243" t="str">
        <f t="shared" si="5"/>
        <v>NA</v>
      </c>
      <c r="M46" s="243" t="str">
        <f t="shared" si="5"/>
        <v>NA</v>
      </c>
      <c r="N46" s="243" t="str">
        <f t="shared" si="5"/>
        <v>NA</v>
      </c>
      <c r="O46" s="202"/>
      <c r="P46" s="258"/>
      <c r="Q46" s="258"/>
    </row>
    <row r="47" spans="1:17" ht="10.35" hidden="1" customHeight="1" x14ac:dyDescent="0.2">
      <c r="B47" s="210"/>
      <c r="C47" s="136" t="s">
        <v>960</v>
      </c>
      <c r="D47" s="76" t="s">
        <v>48</v>
      </c>
      <c r="E47" s="243" t="str">
        <f t="shared" ref="E47:N47" si="6">IF(OR(E14="NA",E23="NA",E24="NA"),"NA",-SUM(E14)+SUM(E23)+SUM(E24))</f>
        <v>NA</v>
      </c>
      <c r="F47" s="243" t="str">
        <f t="shared" si="6"/>
        <v>NA</v>
      </c>
      <c r="G47" s="243" t="str">
        <f t="shared" si="6"/>
        <v>NA</v>
      </c>
      <c r="H47" s="243" t="str">
        <f t="shared" si="6"/>
        <v>NA</v>
      </c>
      <c r="I47" s="243" t="str">
        <f t="shared" si="6"/>
        <v>NA</v>
      </c>
      <c r="J47" s="243" t="str">
        <f t="shared" si="6"/>
        <v>NA</v>
      </c>
      <c r="K47" s="243" t="str">
        <f t="shared" si="6"/>
        <v>NA</v>
      </c>
      <c r="L47" s="243" t="str">
        <f t="shared" si="6"/>
        <v>NA</v>
      </c>
      <c r="M47" s="243" t="str">
        <f t="shared" si="6"/>
        <v>NA</v>
      </c>
      <c r="N47" s="243" t="str">
        <f t="shared" si="6"/>
        <v>NA</v>
      </c>
      <c r="O47" s="202"/>
      <c r="P47" s="258"/>
      <c r="Q47" s="258"/>
    </row>
    <row r="48" spans="1:17" ht="10.35" hidden="1" customHeight="1" x14ac:dyDescent="0.2">
      <c r="B48" s="210"/>
      <c r="C48" s="136" t="s">
        <v>961</v>
      </c>
      <c r="D48" s="76" t="s">
        <v>48</v>
      </c>
      <c r="E48" s="243" t="str">
        <f t="shared" ref="E48:N48" si="7">IF(OR(E14="NA",E15="NA",E16="NA",E17="NA",E18="NA",E19="NA",E20="NA",E21="NA",E22="NA"),"NA",-SUM(E14)+SUM(E15)+SUM(E16)+SUM(E17)+SUM(E18)+SUM(E19)+SUM(E20)+SUM(E21)+SUM(E22))</f>
        <v>NA</v>
      </c>
      <c r="F48" s="243" t="str">
        <f t="shared" si="7"/>
        <v>NA</v>
      </c>
      <c r="G48" s="243" t="str">
        <f t="shared" si="7"/>
        <v>NA</v>
      </c>
      <c r="H48" s="243" t="str">
        <f t="shared" si="7"/>
        <v>NA</v>
      </c>
      <c r="I48" s="243" t="str">
        <f t="shared" si="7"/>
        <v>NA</v>
      </c>
      <c r="J48" s="243" t="str">
        <f t="shared" si="7"/>
        <v>NA</v>
      </c>
      <c r="K48" s="243" t="str">
        <f t="shared" si="7"/>
        <v>NA</v>
      </c>
      <c r="L48" s="243" t="str">
        <f t="shared" si="7"/>
        <v>NA</v>
      </c>
      <c r="M48" s="243" t="str">
        <f t="shared" si="7"/>
        <v>NA</v>
      </c>
      <c r="N48" s="243" t="str">
        <f t="shared" si="7"/>
        <v>NA</v>
      </c>
      <c r="O48" s="202"/>
      <c r="P48" s="258"/>
      <c r="Q48" s="258"/>
    </row>
    <row r="49" spans="2:17" ht="10.35" hidden="1" customHeight="1" x14ac:dyDescent="0.2">
      <c r="B49" s="210"/>
      <c r="C49" s="207" t="s">
        <v>929</v>
      </c>
      <c r="D49" s="103" t="s">
        <v>48</v>
      </c>
      <c r="E49" s="243" t="str">
        <f t="shared" ref="E49:N49" si="8">IF(OR(E25="NA",E34="NA",E35="NA"),"NA",-SUM(E25)+SUM(E34)+SUM(E35))</f>
        <v>NA</v>
      </c>
      <c r="F49" s="243" t="str">
        <f t="shared" si="8"/>
        <v>NA</v>
      </c>
      <c r="G49" s="243" t="str">
        <f t="shared" si="8"/>
        <v>NA</v>
      </c>
      <c r="H49" s="243" t="str">
        <f t="shared" si="8"/>
        <v>NA</v>
      </c>
      <c r="I49" s="243" t="str">
        <f t="shared" si="8"/>
        <v>NA</v>
      </c>
      <c r="J49" s="243" t="str">
        <f t="shared" si="8"/>
        <v>NA</v>
      </c>
      <c r="K49" s="243" t="str">
        <f t="shared" si="8"/>
        <v>NA</v>
      </c>
      <c r="L49" s="243" t="str">
        <f t="shared" si="8"/>
        <v>NA</v>
      </c>
      <c r="M49" s="243" t="str">
        <f t="shared" si="8"/>
        <v>NA</v>
      </c>
      <c r="N49" s="243" t="str">
        <f t="shared" si="8"/>
        <v>NA</v>
      </c>
      <c r="O49" s="202"/>
      <c r="P49" s="258"/>
      <c r="Q49" s="258"/>
    </row>
    <row r="50" spans="2:17" ht="10.35" hidden="1" customHeight="1" x14ac:dyDescent="0.2">
      <c r="B50" s="210"/>
      <c r="C50" s="136" t="s">
        <v>930</v>
      </c>
      <c r="D50" s="103" t="s">
        <v>48</v>
      </c>
      <c r="E50" s="243" t="str">
        <f t="shared" ref="E50:N50" si="9">IF(OR(E25="NA",E26="NA",E27="NA",E28="NA",E29="NA",E30="NA",E31="NA",E32="NA",E33="NA"),"NA",-SUM(E25)+SUM(E26)+SUM(E27)+SUM(E28)+SUM(E29)+SUM(E30)+SUM(E31)+SUM(E32)+SUM(E33))</f>
        <v>NA</v>
      </c>
      <c r="F50" s="243" t="str">
        <f t="shared" si="9"/>
        <v>NA</v>
      </c>
      <c r="G50" s="243" t="str">
        <f t="shared" si="9"/>
        <v>NA</v>
      </c>
      <c r="H50" s="243" t="str">
        <f t="shared" si="9"/>
        <v>NA</v>
      </c>
      <c r="I50" s="243" t="str">
        <f t="shared" si="9"/>
        <v>NA</v>
      </c>
      <c r="J50" s="243" t="str">
        <f t="shared" si="9"/>
        <v>NA</v>
      </c>
      <c r="K50" s="243" t="str">
        <f t="shared" si="9"/>
        <v>NA</v>
      </c>
      <c r="L50" s="243" t="str">
        <f t="shared" si="9"/>
        <v>NA</v>
      </c>
      <c r="M50" s="243" t="str">
        <f t="shared" si="9"/>
        <v>NA</v>
      </c>
      <c r="N50" s="243" t="str">
        <f t="shared" si="9"/>
        <v>NA</v>
      </c>
      <c r="O50" s="202"/>
      <c r="P50" s="258"/>
      <c r="Q50" s="258"/>
    </row>
    <row r="51" spans="2:17" ht="10.35" customHeight="1" x14ac:dyDescent="0.2">
      <c r="B51" s="211"/>
      <c r="C51" s="208" t="s">
        <v>931</v>
      </c>
      <c r="D51" s="140" t="s">
        <v>48</v>
      </c>
      <c r="E51" s="244">
        <f t="shared" ref="E51:N51" si="10">IF(OR(E37="NA",E14="NA",E25="NA"),"NA",-SUM(E37)+SUM(E14)-SUM(E25))</f>
        <v>9.0949470177292824E-13</v>
      </c>
      <c r="F51" s="244">
        <f t="shared" si="10"/>
        <v>0</v>
      </c>
      <c r="G51" s="244">
        <f t="shared" si="10"/>
        <v>0</v>
      </c>
      <c r="H51" s="244">
        <f t="shared" si="10"/>
        <v>0</v>
      </c>
      <c r="I51" s="244">
        <f t="shared" si="10"/>
        <v>-1.1368683772161603E-13</v>
      </c>
      <c r="J51" s="244">
        <f t="shared" si="10"/>
        <v>2.2737367544323206E-13</v>
      </c>
      <c r="K51" s="244">
        <f t="shared" si="10"/>
        <v>1.1368683772161603E-13</v>
      </c>
      <c r="L51" s="244">
        <f t="shared" si="10"/>
        <v>0</v>
      </c>
      <c r="M51" s="244">
        <f t="shared" si="10"/>
        <v>1.8189894035458565E-12</v>
      </c>
      <c r="N51" s="244">
        <f t="shared" si="10"/>
        <v>0</v>
      </c>
      <c r="O51" s="202"/>
      <c r="P51" s="202"/>
      <c r="Q51" s="202"/>
    </row>
    <row r="52" spans="2:17" ht="10.35" customHeight="1" x14ac:dyDescent="0.2">
      <c r="B52" s="294" t="s">
        <v>3485</v>
      </c>
      <c r="C52" s="295"/>
      <c r="D52" s="76"/>
      <c r="E52" s="243"/>
      <c r="F52" s="243"/>
      <c r="G52" s="243"/>
      <c r="H52" s="243"/>
      <c r="I52" s="243"/>
      <c r="J52" s="243"/>
      <c r="K52" s="243"/>
      <c r="L52" s="243"/>
      <c r="M52" s="243"/>
      <c r="N52" s="243"/>
      <c r="O52" s="202"/>
      <c r="P52" s="202"/>
      <c r="Q52" s="202"/>
    </row>
    <row r="53" spans="2:17" ht="10.35" customHeight="1" x14ac:dyDescent="0.2">
      <c r="B53" s="274"/>
      <c r="C53" s="136" t="s">
        <v>932</v>
      </c>
      <c r="D53" s="76" t="s">
        <v>48</v>
      </c>
      <c r="E53" s="243">
        <f>IF(OR(E8="NA",Table4!E8="NA",Table5!E8="NA"),"NA",-SUM(E8)+SUM(Table4!E8)+SUM(Table5!E8))</f>
        <v>-9.0949470177292824E-13</v>
      </c>
      <c r="F53" s="243">
        <f>IF(OR(F8="NA",Table4!F8="NA",Table5!F8="NA"),"NA",-SUM(F8)+SUM(Table4!F8)+SUM(Table5!F8))</f>
        <v>-1.1368683772161603E-13</v>
      </c>
      <c r="G53" s="243">
        <f>IF(OR(G8="NA",Table4!G8="NA",Table5!G8="NA"),"NA",-SUM(G8)+SUM(Table4!G8)+SUM(Table5!G8))</f>
        <v>0</v>
      </c>
      <c r="H53" s="243">
        <f>IF(OR(H8="NA",Table4!H8="NA",Table5!H8="NA"),"NA",-SUM(H8)+SUM(Table4!H8)+SUM(Table5!H8))</f>
        <v>1.8189894035458565E-12</v>
      </c>
      <c r="I53" s="243">
        <f>IF(OR(I8="NA",Table4!I8="NA",Table5!I8="NA"),"NA",-SUM(I8)+SUM(Table4!I8)+SUM(Table5!I8))</f>
        <v>0</v>
      </c>
      <c r="J53" s="243">
        <f>IF(OR(J8="NA",Table4!J8="NA",Table5!J8="NA"),"NA",-SUM(J8)+SUM(Table4!J8)+SUM(Table5!J8))</f>
        <v>0</v>
      </c>
      <c r="K53" s="243">
        <f>IF(OR(K8="NA",Table4!K8="NA",Table5!K8="NA"),"NA",-SUM(K8)+SUM(Table4!K8)+SUM(Table5!K8))</f>
        <v>0</v>
      </c>
      <c r="L53" s="243">
        <f>IF(OR(L8="NA",Table4!L8="NA",Table5!L8="NA"),"NA",-SUM(L8)+SUM(Table4!L8)+SUM(Table5!L8))</f>
        <v>0</v>
      </c>
      <c r="M53" s="243">
        <f>IF(OR(M8="NA",Table4!M8="NA",Table5!M8="NA"),"NA",-SUM(M8)+SUM(Table4!M8)+SUM(Table5!M8))</f>
        <v>1.8189894035458565E-12</v>
      </c>
      <c r="N53" s="243">
        <f>IF(OR(N8="NA",Table4!N8="NA",Table5!N8="NA"),"NA",-SUM(N8)+SUM(Table4!N8)+SUM(Table5!N8))</f>
        <v>1.8189894035458565E-12</v>
      </c>
      <c r="O53" s="202"/>
      <c r="P53" s="202"/>
      <c r="Q53" s="202"/>
    </row>
    <row r="54" spans="2:17" ht="10.35" customHeight="1" x14ac:dyDescent="0.2">
      <c r="B54" s="274"/>
      <c r="C54" s="136" t="s">
        <v>933</v>
      </c>
      <c r="D54" s="76" t="s">
        <v>48</v>
      </c>
      <c r="E54" s="243">
        <f>IF(OR(E9="NA",Table4!E9="NA",Table5!E9="NA"),"NA",-SUM(E9)+SUM(Table4!E9)+SUM(Table5!E9))</f>
        <v>4.5474735088646412E-13</v>
      </c>
      <c r="F54" s="243">
        <f>IF(OR(F9="NA",Table4!F9="NA",Table5!F9="NA"),"NA",-SUM(F9)+SUM(Table4!F9)+SUM(Table5!F9))</f>
        <v>-1.4210854715202004E-14</v>
      </c>
      <c r="G54" s="243">
        <f>IF(OR(G9="NA",Table4!G9="NA",Table5!G9="NA"),"NA",-SUM(G9)+SUM(Table4!G9)+SUM(Table5!G9))</f>
        <v>0</v>
      </c>
      <c r="H54" s="243">
        <f>IF(OR(H9="NA",Table4!H9="NA",Table5!H9="NA"),"NA",-SUM(H9)+SUM(Table4!H9)+SUM(Table5!H9))</f>
        <v>9.0949470177292824E-13</v>
      </c>
      <c r="I54" s="243">
        <f>IF(OR(I9="NA",Table4!I9="NA",Table5!I9="NA"),"NA",-SUM(I9)+SUM(Table4!I9)+SUM(Table5!I9))</f>
        <v>-1.2434497875801753E-14</v>
      </c>
      <c r="J54" s="243">
        <f>IF(OR(J9="NA",Table4!J9="NA",Table5!J9="NA"),"NA",-SUM(J9)+SUM(Table4!J9)+SUM(Table5!J9))</f>
        <v>1.0658141036401503E-14</v>
      </c>
      <c r="K54" s="243">
        <f>IF(OR(K9="NA",Table4!K9="NA",Table5!K9="NA"),"NA",-SUM(K9)+SUM(Table4!K9)+SUM(Table5!K9))</f>
        <v>2.8421709430404007E-14</v>
      </c>
      <c r="L54" s="243">
        <f>IF(OR(L9="NA",Table4!L9="NA",Table5!L9="NA"),"NA",-SUM(L9)+SUM(Table4!L9)+SUM(Table5!L9))</f>
        <v>0</v>
      </c>
      <c r="M54" s="243">
        <f>IF(OR(M9="NA",Table4!M9="NA",Table5!M9="NA"),"NA",-SUM(M9)+SUM(Table4!M9)+SUM(Table5!M9))</f>
        <v>4.5474735088646412E-13</v>
      </c>
      <c r="N54" s="243">
        <f>IF(OR(N9="NA",Table4!N9="NA",Table5!N9="NA"),"NA",-SUM(N9)+SUM(Table4!N9)+SUM(Table5!N9))</f>
        <v>9.0949470177292824E-13</v>
      </c>
      <c r="O54" s="202"/>
      <c r="P54" s="202"/>
      <c r="Q54" s="202"/>
    </row>
    <row r="55" spans="2:17" ht="10.35" hidden="1" customHeight="1" x14ac:dyDescent="0.2">
      <c r="B55" s="274"/>
      <c r="C55" s="136" t="s">
        <v>962</v>
      </c>
      <c r="D55" s="76" t="s">
        <v>48</v>
      </c>
      <c r="E55" s="243" t="str">
        <f>IF(OR(E10="NA",Table4!E10="NA",Table5!E10="NA"),"NA",-SUM(E10)+SUM(Table4!E10)+SUM(Table5!E10))</f>
        <v>NA</v>
      </c>
      <c r="F55" s="243" t="str">
        <f>IF(OR(F10="NA",Table4!F10="NA",Table5!F10="NA"),"NA",-SUM(F10)+SUM(Table4!F10)+SUM(Table5!F10))</f>
        <v>NA</v>
      </c>
      <c r="G55" s="243" t="str">
        <f>IF(OR(G10="NA",Table4!G10="NA",Table5!G10="NA"),"NA",-SUM(G10)+SUM(Table4!G10)+SUM(Table5!G10))</f>
        <v>NA</v>
      </c>
      <c r="H55" s="243" t="str">
        <f>IF(OR(H10="NA",Table4!H10="NA",Table5!H10="NA"),"NA",-SUM(H10)+SUM(Table4!H10)+SUM(Table5!H10))</f>
        <v>NA</v>
      </c>
      <c r="I55" s="243" t="str">
        <f>IF(OR(I10="NA",Table4!I10="NA",Table5!I10="NA"),"NA",-SUM(I10)+SUM(Table4!I10)+SUM(Table5!I10))</f>
        <v>NA</v>
      </c>
      <c r="J55" s="243" t="str">
        <f>IF(OR(J10="NA",Table4!J10="NA",Table5!J10="NA"),"NA",-SUM(J10)+SUM(Table4!J10)+SUM(Table5!J10))</f>
        <v>NA</v>
      </c>
      <c r="K55" s="243" t="str">
        <f>IF(OR(K10="NA",Table4!K10="NA",Table5!K10="NA"),"NA",-SUM(K10)+SUM(Table4!K10)+SUM(Table5!K10))</f>
        <v>NA</v>
      </c>
      <c r="L55" s="243" t="str">
        <f>IF(OR(L10="NA",Table4!L10="NA",Table5!L10="NA"),"NA",-SUM(L10)+SUM(Table4!L10)+SUM(Table5!L10))</f>
        <v>NA</v>
      </c>
      <c r="M55" s="243" t="str">
        <f>IF(OR(M10="NA",Table4!M10="NA",Table5!M10="NA"),"NA",-SUM(M10)+SUM(Table4!M10)+SUM(Table5!M10))</f>
        <v>NA</v>
      </c>
      <c r="N55" s="243" t="str">
        <f>IF(OR(N10="NA",Table4!N10="NA",Table5!N10="NA"),"NA",-SUM(N10)+SUM(Table4!N10)+SUM(Table5!N10))</f>
        <v>NA</v>
      </c>
      <c r="O55" s="202"/>
      <c r="P55" s="202"/>
      <c r="Q55" s="202"/>
    </row>
    <row r="56" spans="2:17" ht="10.35" hidden="1" customHeight="1" x14ac:dyDescent="0.2">
      <c r="B56" s="274"/>
      <c r="C56" s="136" t="s">
        <v>934</v>
      </c>
      <c r="D56" s="76" t="s">
        <v>48</v>
      </c>
      <c r="E56" s="243" t="str">
        <f>IF(OR(E11="NA",Table4!E11="NA",Table5!E11="NA"),"NA",-SUM(E11)+SUM(Table4!E11)+SUM(Table5!E11))</f>
        <v>NA</v>
      </c>
      <c r="F56" s="243" t="str">
        <f>IF(OR(F11="NA",Table4!F11="NA",Table5!F11="NA"),"NA",-SUM(F11)+SUM(Table4!F11)+SUM(Table5!F11))</f>
        <v>NA</v>
      </c>
      <c r="G56" s="243" t="str">
        <f>IF(OR(G11="NA",Table4!G11="NA",Table5!G11="NA"),"NA",-SUM(G11)+SUM(Table4!G11)+SUM(Table5!G11))</f>
        <v>NA</v>
      </c>
      <c r="H56" s="243" t="str">
        <f>IF(OR(H11="NA",Table4!H11="NA",Table5!H11="NA"),"NA",-SUM(H11)+SUM(Table4!H11)+SUM(Table5!H11))</f>
        <v>NA</v>
      </c>
      <c r="I56" s="243" t="str">
        <f>IF(OR(I11="NA",Table4!I11="NA",Table5!I11="NA"),"NA",-SUM(I11)+SUM(Table4!I11)+SUM(Table5!I11))</f>
        <v>NA</v>
      </c>
      <c r="J56" s="243" t="str">
        <f>IF(OR(J11="NA",Table4!J11="NA",Table5!J11="NA"),"NA",-SUM(J11)+SUM(Table4!J11)+SUM(Table5!J11))</f>
        <v>NA</v>
      </c>
      <c r="K56" s="243" t="str">
        <f>IF(OR(K11="NA",Table4!K11="NA",Table5!K11="NA"),"NA",-SUM(K11)+SUM(Table4!K11)+SUM(Table5!K11))</f>
        <v>NA</v>
      </c>
      <c r="L56" s="243" t="str">
        <f>IF(OR(L11="NA",Table4!L11="NA",Table5!L11="NA"),"NA",-SUM(L11)+SUM(Table4!L11)+SUM(Table5!L11))</f>
        <v>NA</v>
      </c>
      <c r="M56" s="243" t="str">
        <f>IF(OR(M11="NA",Table4!M11="NA",Table5!M11="NA"),"NA",-SUM(M11)+SUM(Table4!M11)+SUM(Table5!M11))</f>
        <v>NA</v>
      </c>
      <c r="N56" s="243" t="str">
        <f>IF(OR(N11="NA",Table4!N11="NA",Table5!N11="NA"),"NA",-SUM(N11)+SUM(Table4!N11)+SUM(Table5!N11))</f>
        <v>NA</v>
      </c>
      <c r="O56" s="202"/>
      <c r="P56" s="202"/>
      <c r="Q56" s="202"/>
    </row>
    <row r="57" spans="2:17" ht="10.35" hidden="1" customHeight="1" x14ac:dyDescent="0.2">
      <c r="B57" s="274"/>
      <c r="C57" s="136" t="s">
        <v>935</v>
      </c>
      <c r="D57" s="76" t="s">
        <v>48</v>
      </c>
      <c r="E57" s="243" t="str">
        <f>IF(OR(E12="NA",Table4!E12="NA",Table5!E12="NA"),"NA",-SUM(E12)+SUM(Table4!E12)+SUM(Table5!E12))</f>
        <v>NA</v>
      </c>
      <c r="F57" s="243" t="str">
        <f>IF(OR(F12="NA",Table4!F12="NA",Table5!F12="NA"),"NA",-SUM(F12)+SUM(Table4!F12)+SUM(Table5!F12))</f>
        <v>NA</v>
      </c>
      <c r="G57" s="243" t="str">
        <f>IF(OR(G12="NA",Table4!G12="NA",Table5!G12="NA"),"NA",-SUM(G12)+SUM(Table4!G12)+SUM(Table5!G12))</f>
        <v>NA</v>
      </c>
      <c r="H57" s="243" t="str">
        <f>IF(OR(H12="NA",Table4!H12="NA",Table5!H12="NA"),"NA",-SUM(H12)+SUM(Table4!H12)+SUM(Table5!H12))</f>
        <v>NA</v>
      </c>
      <c r="I57" s="243" t="str">
        <f>IF(OR(I12="NA",Table4!I12="NA",Table5!I12="NA"),"NA",-SUM(I12)+SUM(Table4!I12)+SUM(Table5!I12))</f>
        <v>NA</v>
      </c>
      <c r="J57" s="243" t="str">
        <f>IF(OR(J12="NA",Table4!J12="NA",Table5!J12="NA"),"NA",-SUM(J12)+SUM(Table4!J12)+SUM(Table5!J12))</f>
        <v>NA</v>
      </c>
      <c r="K57" s="243" t="str">
        <f>IF(OR(K12="NA",Table4!K12="NA",Table5!K12="NA"),"NA",-SUM(K12)+SUM(Table4!K12)+SUM(Table5!K12))</f>
        <v>NA</v>
      </c>
      <c r="L57" s="243" t="str">
        <f>IF(OR(L12="NA",Table4!L12="NA",Table5!L12="NA"),"NA",-SUM(L12)+SUM(Table4!L12)+SUM(Table5!L12))</f>
        <v>NA</v>
      </c>
      <c r="M57" s="243" t="str">
        <f>IF(OR(M12="NA",Table4!M12="NA",Table5!M12="NA"),"NA",-SUM(M12)+SUM(Table4!M12)+SUM(Table5!M12))</f>
        <v>NA</v>
      </c>
      <c r="N57" s="243" t="str">
        <f>IF(OR(N12="NA",Table4!N12="NA",Table5!N12="NA"),"NA",-SUM(N12)+SUM(Table4!N12)+SUM(Table5!N12))</f>
        <v>NA</v>
      </c>
      <c r="O57" s="202"/>
      <c r="P57" s="202"/>
      <c r="Q57" s="202"/>
    </row>
    <row r="58" spans="2:17" ht="10.35" hidden="1" customHeight="1" x14ac:dyDescent="0.2">
      <c r="B58" s="274"/>
      <c r="C58" s="136" t="s">
        <v>936</v>
      </c>
      <c r="D58" s="76" t="s">
        <v>48</v>
      </c>
      <c r="E58" s="243" t="str">
        <f>IF(OR(E13="NA",Table4!E13="NA",Table5!E13="NA"),"NA",-SUM(E13)+SUM(Table4!E13)+SUM(Table5!E13))</f>
        <v>NA</v>
      </c>
      <c r="F58" s="243" t="str">
        <f>IF(OR(F13="NA",Table4!F13="NA",Table5!F13="NA"),"NA",-SUM(F13)+SUM(Table4!F13)+SUM(Table5!F13))</f>
        <v>NA</v>
      </c>
      <c r="G58" s="243" t="str">
        <f>IF(OR(G13="NA",Table4!G13="NA",Table5!G13="NA"),"NA",-SUM(G13)+SUM(Table4!G13)+SUM(Table5!G13))</f>
        <v>NA</v>
      </c>
      <c r="H58" s="243" t="str">
        <f>IF(OR(H13="NA",Table4!H13="NA",Table5!H13="NA"),"NA",-SUM(H13)+SUM(Table4!H13)+SUM(Table5!H13))</f>
        <v>NA</v>
      </c>
      <c r="I58" s="243" t="str">
        <f>IF(OR(I13="NA",Table4!I13="NA",Table5!I13="NA"),"NA",-SUM(I13)+SUM(Table4!I13)+SUM(Table5!I13))</f>
        <v>NA</v>
      </c>
      <c r="J58" s="243" t="str">
        <f>IF(OR(J13="NA",Table4!J13="NA",Table5!J13="NA"),"NA",-SUM(J13)+SUM(Table4!J13)+SUM(Table5!J13))</f>
        <v>NA</v>
      </c>
      <c r="K58" s="243" t="str">
        <f>IF(OR(K13="NA",Table4!K13="NA",Table5!K13="NA"),"NA",-SUM(K13)+SUM(Table4!K13)+SUM(Table5!K13))</f>
        <v>NA</v>
      </c>
      <c r="L58" s="243" t="str">
        <f>IF(OR(L13="NA",Table4!L13="NA",Table5!L13="NA"),"NA",-SUM(L13)+SUM(Table4!L13)+SUM(Table5!L13))</f>
        <v>NA</v>
      </c>
      <c r="M58" s="243" t="str">
        <f>IF(OR(M13="NA",Table4!M13="NA",Table5!M13="NA"),"NA",-SUM(M13)+SUM(Table4!M13)+SUM(Table5!M13))</f>
        <v>NA</v>
      </c>
      <c r="N58" s="243" t="str">
        <f>IF(OR(N13="NA",Table4!N13="NA",Table5!N13="NA"),"NA",-SUM(N13)+SUM(Table4!N13)+SUM(Table5!N13))</f>
        <v>NA</v>
      </c>
      <c r="O58" s="202"/>
      <c r="P58" s="202"/>
      <c r="Q58" s="202"/>
    </row>
    <row r="59" spans="2:17" ht="10.35" customHeight="1" x14ac:dyDescent="0.2">
      <c r="B59" s="274"/>
      <c r="C59" s="136" t="s">
        <v>937</v>
      </c>
      <c r="D59" s="76" t="s">
        <v>48</v>
      </c>
      <c r="E59" s="243">
        <f>IF(OR(E14="NA",Table4!E14="NA",Table5!E14="NA"),"NA",-SUM(E14)+SUM(Table4!E14)+SUM(Table5!E14))</f>
        <v>9.0949470177292824E-13</v>
      </c>
      <c r="F59" s="243">
        <f>IF(OR(F14="NA",Table4!F14="NA",Table5!F14="NA"),"NA",-SUM(F14)+SUM(Table4!F14)+SUM(Table5!F14))</f>
        <v>0</v>
      </c>
      <c r="G59" s="243">
        <f>IF(OR(G14="NA",Table4!G14="NA",Table5!G14="NA"),"NA",-SUM(G14)+SUM(Table4!G14)+SUM(Table5!G14))</f>
        <v>0</v>
      </c>
      <c r="H59" s="243">
        <f>IF(OR(H14="NA",Table4!H14="NA",Table5!H14="NA"),"NA",-SUM(H14)+SUM(Table4!H14)+SUM(Table5!H14))</f>
        <v>1.8189894035458565E-12</v>
      </c>
      <c r="I59" s="243">
        <f>IF(OR(I14="NA",Table4!I14="NA",Table5!I14="NA"),"NA",-SUM(I14)+SUM(Table4!I14)+SUM(Table5!I14))</f>
        <v>0</v>
      </c>
      <c r="J59" s="243">
        <f>IF(OR(J14="NA",Table4!J14="NA",Table5!J14="NA"),"NA",-SUM(J14)+SUM(Table4!J14)+SUM(Table5!J14))</f>
        <v>0</v>
      </c>
      <c r="K59" s="243">
        <f>IF(OR(K14="NA",Table4!K14="NA",Table5!K14="NA"),"NA",-SUM(K14)+SUM(Table4!K14)+SUM(Table5!K14))</f>
        <v>-4.5474735088646412E-13</v>
      </c>
      <c r="L59" s="243">
        <f>IF(OR(L14="NA",Table4!L14="NA",Table5!L14="NA"),"NA",-SUM(L14)+SUM(Table4!L14)+SUM(Table5!L14))</f>
        <v>0</v>
      </c>
      <c r="M59" s="243">
        <f>IF(OR(M14="NA",Table4!M14="NA",Table5!M14="NA"),"NA",-SUM(M14)+SUM(Table4!M14)+SUM(Table5!M14))</f>
        <v>0</v>
      </c>
      <c r="N59" s="243">
        <f>IF(OR(N14="NA",Table4!N14="NA",Table5!N14="NA"),"NA",-SUM(N14)+SUM(Table4!N14)+SUM(Table5!N14))</f>
        <v>1.8189894035458565E-12</v>
      </c>
      <c r="O59" s="202"/>
      <c r="P59" s="202"/>
      <c r="Q59" s="202"/>
    </row>
    <row r="60" spans="2:17" ht="10.35" hidden="1" customHeight="1" x14ac:dyDescent="0.2">
      <c r="B60" s="274"/>
      <c r="C60" s="136" t="s">
        <v>963</v>
      </c>
      <c r="D60" s="76"/>
      <c r="E60" s="243" t="str">
        <f>IF(OR(E15="NA",Table4!E15="NA",Table5!E15="NA"),"NA",-SUM(E15)+SUM(Table4!E15)+SUM(Table5!E15))</f>
        <v>NA</v>
      </c>
      <c r="F60" s="243" t="str">
        <f>IF(OR(F15="NA",Table4!F15="NA",Table5!F15="NA"),"NA",-SUM(F15)+SUM(Table4!F15)+SUM(Table5!F15))</f>
        <v>NA</v>
      </c>
      <c r="G60" s="243" t="str">
        <f>IF(OR(G15="NA",Table4!G15="NA",Table5!G15="NA"),"NA",-SUM(G15)+SUM(Table4!G15)+SUM(Table5!G15))</f>
        <v>NA</v>
      </c>
      <c r="H60" s="243" t="str">
        <f>IF(OR(H15="NA",Table4!H15="NA",Table5!H15="NA"),"NA",-SUM(H15)+SUM(Table4!H15)+SUM(Table5!H15))</f>
        <v>NA</v>
      </c>
      <c r="I60" s="243" t="str">
        <f>IF(OR(I15="NA",Table4!I15="NA",Table5!I15="NA"),"NA",-SUM(I15)+SUM(Table4!I15)+SUM(Table5!I15))</f>
        <v>NA</v>
      </c>
      <c r="J60" s="243" t="str">
        <f>IF(OR(J15="NA",Table4!J15="NA",Table5!J15="NA"),"NA",-SUM(J15)+SUM(Table4!J15)+SUM(Table5!J15))</f>
        <v>NA</v>
      </c>
      <c r="K60" s="243" t="str">
        <f>IF(OR(K15="NA",Table4!K15="NA",Table5!K15="NA"),"NA",-SUM(K15)+SUM(Table4!K15)+SUM(Table5!K15))</f>
        <v>NA</v>
      </c>
      <c r="L60" s="243" t="str">
        <f>IF(OR(L15="NA",Table4!L15="NA",Table5!L15="NA"),"NA",-SUM(L15)+SUM(Table4!L15)+SUM(Table5!L15))</f>
        <v>NA</v>
      </c>
      <c r="M60" s="243" t="str">
        <f>IF(OR(M15="NA",Table4!M15="NA",Table5!M15="NA"),"NA",-SUM(M15)+SUM(Table4!M15)+SUM(Table5!M15))</f>
        <v>NA</v>
      </c>
      <c r="N60" s="243" t="str">
        <f>IF(OR(N15="NA",Table4!N15="NA",Table5!N15="NA"),"NA",-SUM(N15)+SUM(Table4!N15)+SUM(Table5!N15))</f>
        <v>NA</v>
      </c>
      <c r="O60" s="202"/>
      <c r="P60" s="202"/>
      <c r="Q60" s="202"/>
    </row>
    <row r="61" spans="2:17" ht="10.35" hidden="1" customHeight="1" x14ac:dyDescent="0.2">
      <c r="B61" s="274"/>
      <c r="C61" s="136" t="s">
        <v>938</v>
      </c>
      <c r="D61" s="76" t="s">
        <v>48</v>
      </c>
      <c r="E61" s="243" t="str">
        <f>IF(OR(E16="NA",Table4!E16="NA",Table5!E16="NA"),"NA",-SUM(E16)+SUM(Table4!E16)+SUM(Table5!E16))</f>
        <v>NA</v>
      </c>
      <c r="F61" s="243" t="str">
        <f>IF(OR(F16="NA",Table4!F16="NA",Table5!F16="NA"),"NA",-SUM(F16)+SUM(Table4!F16)+SUM(Table5!F16))</f>
        <v>NA</v>
      </c>
      <c r="G61" s="243" t="str">
        <f>IF(OR(G16="NA",Table4!G16="NA",Table5!G16="NA"),"NA",-SUM(G16)+SUM(Table4!G16)+SUM(Table5!G16))</f>
        <v>NA</v>
      </c>
      <c r="H61" s="243" t="str">
        <f>IF(OR(H16="NA",Table4!H16="NA",Table5!H16="NA"),"NA",-SUM(H16)+SUM(Table4!H16)+SUM(Table5!H16))</f>
        <v>NA</v>
      </c>
      <c r="I61" s="243" t="str">
        <f>IF(OR(I16="NA",Table4!I16="NA",Table5!I16="NA"),"NA",-SUM(I16)+SUM(Table4!I16)+SUM(Table5!I16))</f>
        <v>NA</v>
      </c>
      <c r="J61" s="243" t="str">
        <f>IF(OR(J16="NA",Table4!J16="NA",Table5!J16="NA"),"NA",-SUM(J16)+SUM(Table4!J16)+SUM(Table5!J16))</f>
        <v>NA</v>
      </c>
      <c r="K61" s="243" t="str">
        <f>IF(OR(K16="NA",Table4!K16="NA",Table5!K16="NA"),"NA",-SUM(K16)+SUM(Table4!K16)+SUM(Table5!K16))</f>
        <v>NA</v>
      </c>
      <c r="L61" s="243" t="str">
        <f>IF(OR(L16="NA",Table4!L16="NA",Table5!L16="NA"),"NA",-SUM(L16)+SUM(Table4!L16)+SUM(Table5!L16))</f>
        <v>NA</v>
      </c>
      <c r="M61" s="243" t="str">
        <f>IF(OR(M16="NA",Table4!M16="NA",Table5!M16="NA"),"NA",-SUM(M16)+SUM(Table4!M16)+SUM(Table5!M16))</f>
        <v>NA</v>
      </c>
      <c r="N61" s="243" t="str">
        <f>IF(OR(N16="NA",Table4!N16="NA",Table5!N16="NA"),"NA",-SUM(N16)+SUM(Table4!N16)+SUM(Table5!N16))</f>
        <v>NA</v>
      </c>
      <c r="O61" s="202"/>
      <c r="P61" s="202"/>
      <c r="Q61" s="202"/>
    </row>
    <row r="62" spans="2:17" ht="10.35" hidden="1" customHeight="1" x14ac:dyDescent="0.2">
      <c r="B62" s="274"/>
      <c r="C62" s="136" t="s">
        <v>939</v>
      </c>
      <c r="D62" s="76" t="s">
        <v>48</v>
      </c>
      <c r="E62" s="243" t="str">
        <f>IF(OR(E17="NA",Table4!E17="NA",Table5!E17="NA"),"NA",-SUM(E17)+SUM(Table4!E17)+SUM(Table5!E17))</f>
        <v>NA</v>
      </c>
      <c r="F62" s="243" t="str">
        <f>IF(OR(F17="NA",Table4!F17="NA",Table5!F17="NA"),"NA",-SUM(F17)+SUM(Table4!F17)+SUM(Table5!F17))</f>
        <v>NA</v>
      </c>
      <c r="G62" s="243" t="str">
        <f>IF(OR(G17="NA",Table4!G17="NA",Table5!G17="NA"),"NA",-SUM(G17)+SUM(Table4!G17)+SUM(Table5!G17))</f>
        <v>NA</v>
      </c>
      <c r="H62" s="243" t="str">
        <f>IF(OR(H17="NA",Table4!H17="NA",Table5!H17="NA"),"NA",-SUM(H17)+SUM(Table4!H17)+SUM(Table5!H17))</f>
        <v>NA</v>
      </c>
      <c r="I62" s="243" t="str">
        <f>IF(OR(I17="NA",Table4!I17="NA",Table5!I17="NA"),"NA",-SUM(I17)+SUM(Table4!I17)+SUM(Table5!I17))</f>
        <v>NA</v>
      </c>
      <c r="J62" s="243" t="str">
        <f>IF(OR(J17="NA",Table4!J17="NA",Table5!J17="NA"),"NA",-SUM(J17)+SUM(Table4!J17)+SUM(Table5!J17))</f>
        <v>NA</v>
      </c>
      <c r="K62" s="243" t="str">
        <f>IF(OR(K17="NA",Table4!K17="NA",Table5!K17="NA"),"NA",-SUM(K17)+SUM(Table4!K17)+SUM(Table5!K17))</f>
        <v>NA</v>
      </c>
      <c r="L62" s="243" t="str">
        <f>IF(OR(L17="NA",Table4!L17="NA",Table5!L17="NA"),"NA",-SUM(L17)+SUM(Table4!L17)+SUM(Table5!L17))</f>
        <v>NA</v>
      </c>
      <c r="M62" s="243" t="str">
        <f>IF(OR(M17="NA",Table4!M17="NA",Table5!M17="NA"),"NA",-SUM(M17)+SUM(Table4!M17)+SUM(Table5!M17))</f>
        <v>NA</v>
      </c>
      <c r="N62" s="243" t="str">
        <f>IF(OR(N17="NA",Table4!N17="NA",Table5!N17="NA"),"NA",-SUM(N17)+SUM(Table4!N17)+SUM(Table5!N17))</f>
        <v>NA</v>
      </c>
      <c r="O62" s="202"/>
      <c r="P62" s="202"/>
      <c r="Q62" s="202"/>
    </row>
    <row r="63" spans="2:17" ht="10.35" hidden="1" customHeight="1" x14ac:dyDescent="0.2">
      <c r="B63" s="274"/>
      <c r="C63" s="136" t="s">
        <v>940</v>
      </c>
      <c r="D63" s="76" t="s">
        <v>48</v>
      </c>
      <c r="E63" s="243" t="str">
        <f>IF(OR(E18="NA",Table4!E18="NA",Table5!E18="NA"),"NA",-SUM(E18)+SUM(Table4!E18)+SUM(Table5!E18))</f>
        <v>NA</v>
      </c>
      <c r="F63" s="243" t="str">
        <f>IF(OR(F18="NA",Table4!F18="NA",Table5!F18="NA"),"NA",-SUM(F18)+SUM(Table4!F18)+SUM(Table5!F18))</f>
        <v>NA</v>
      </c>
      <c r="G63" s="243" t="str">
        <f>IF(OR(G18="NA",Table4!G18="NA",Table5!G18="NA"),"NA",-SUM(G18)+SUM(Table4!G18)+SUM(Table5!G18))</f>
        <v>NA</v>
      </c>
      <c r="H63" s="243" t="str">
        <f>IF(OR(H18="NA",Table4!H18="NA",Table5!H18="NA"),"NA",-SUM(H18)+SUM(Table4!H18)+SUM(Table5!H18))</f>
        <v>NA</v>
      </c>
      <c r="I63" s="243" t="str">
        <f>IF(OR(I18="NA",Table4!I18="NA",Table5!I18="NA"),"NA",-SUM(I18)+SUM(Table4!I18)+SUM(Table5!I18))</f>
        <v>NA</v>
      </c>
      <c r="J63" s="243" t="str">
        <f>IF(OR(J18="NA",Table4!J18="NA",Table5!J18="NA"),"NA",-SUM(J18)+SUM(Table4!J18)+SUM(Table5!J18))</f>
        <v>NA</v>
      </c>
      <c r="K63" s="243" t="str">
        <f>IF(OR(K18="NA",Table4!K18="NA",Table5!K18="NA"),"NA",-SUM(K18)+SUM(Table4!K18)+SUM(Table5!K18))</f>
        <v>NA</v>
      </c>
      <c r="L63" s="243" t="str">
        <f>IF(OR(L18="NA",Table4!L18="NA",Table5!L18="NA"),"NA",-SUM(L18)+SUM(Table4!L18)+SUM(Table5!L18))</f>
        <v>NA</v>
      </c>
      <c r="M63" s="243" t="str">
        <f>IF(OR(M18="NA",Table4!M18="NA",Table5!M18="NA"),"NA",-SUM(M18)+SUM(Table4!M18)+SUM(Table5!M18))</f>
        <v>NA</v>
      </c>
      <c r="N63" s="243" t="str">
        <f>IF(OR(N18="NA",Table4!N18="NA",Table5!N18="NA"),"NA",-SUM(N18)+SUM(Table4!N18)+SUM(Table5!N18))</f>
        <v>NA</v>
      </c>
      <c r="O63" s="202"/>
      <c r="P63" s="202"/>
      <c r="Q63" s="202"/>
    </row>
    <row r="64" spans="2:17" ht="10.35" hidden="1" customHeight="1" x14ac:dyDescent="0.2">
      <c r="B64" s="274"/>
      <c r="C64" s="136" t="s">
        <v>941</v>
      </c>
      <c r="D64" s="76" t="s">
        <v>48</v>
      </c>
      <c r="E64" s="243" t="str">
        <f>IF(OR(E19="NA",Table4!E19="NA",Table5!E19="NA"),"NA",-SUM(E19)+SUM(Table4!E19)+SUM(Table5!E19))</f>
        <v>NA</v>
      </c>
      <c r="F64" s="243" t="str">
        <f>IF(OR(F19="NA",Table4!F19="NA",Table5!F19="NA"),"NA",-SUM(F19)+SUM(Table4!F19)+SUM(Table5!F19))</f>
        <v>NA</v>
      </c>
      <c r="G64" s="243" t="str">
        <f>IF(OR(G19="NA",Table4!G19="NA",Table5!G19="NA"),"NA",-SUM(G19)+SUM(Table4!G19)+SUM(Table5!G19))</f>
        <v>NA</v>
      </c>
      <c r="H64" s="243" t="str">
        <f>IF(OR(H19="NA",Table4!H19="NA",Table5!H19="NA"),"NA",-SUM(H19)+SUM(Table4!H19)+SUM(Table5!H19))</f>
        <v>NA</v>
      </c>
      <c r="I64" s="243" t="str">
        <f>IF(OR(I19="NA",Table4!I19="NA",Table5!I19="NA"),"NA",-SUM(I19)+SUM(Table4!I19)+SUM(Table5!I19))</f>
        <v>NA</v>
      </c>
      <c r="J64" s="243" t="str">
        <f>IF(OR(J19="NA",Table4!J19="NA",Table5!J19="NA"),"NA",-SUM(J19)+SUM(Table4!J19)+SUM(Table5!J19))</f>
        <v>NA</v>
      </c>
      <c r="K64" s="243" t="str">
        <f>IF(OR(K19="NA",Table4!K19="NA",Table5!K19="NA"),"NA",-SUM(K19)+SUM(Table4!K19)+SUM(Table5!K19))</f>
        <v>NA</v>
      </c>
      <c r="L64" s="243" t="str">
        <f>IF(OR(L19="NA",Table4!L19="NA",Table5!L19="NA"),"NA",-SUM(L19)+SUM(Table4!L19)+SUM(Table5!L19))</f>
        <v>NA</v>
      </c>
      <c r="M64" s="243" t="str">
        <f>IF(OR(M19="NA",Table4!M19="NA",Table5!M19="NA"),"NA",-SUM(M19)+SUM(Table4!M19)+SUM(Table5!M19))</f>
        <v>NA</v>
      </c>
      <c r="N64" s="243" t="str">
        <f>IF(OR(N19="NA",Table4!N19="NA",Table5!N19="NA"),"NA",-SUM(N19)+SUM(Table4!N19)+SUM(Table5!N19))</f>
        <v>NA</v>
      </c>
      <c r="O64" s="202"/>
      <c r="P64" s="202"/>
      <c r="Q64" s="202"/>
    </row>
    <row r="65" spans="2:17" ht="10.35" hidden="1" customHeight="1" x14ac:dyDescent="0.2">
      <c r="B65" s="274"/>
      <c r="C65" s="136" t="s">
        <v>942</v>
      </c>
      <c r="D65" s="76" t="s">
        <v>48</v>
      </c>
      <c r="E65" s="243" t="str">
        <f>IF(OR(E20="NA",Table4!E20="NA",Table5!E20="NA"),"NA",-SUM(E20)+SUM(Table4!E20)+SUM(Table5!E20))</f>
        <v>NA</v>
      </c>
      <c r="F65" s="243" t="str">
        <f>IF(OR(F20="NA",Table4!F20="NA",Table5!F20="NA"),"NA",-SUM(F20)+SUM(Table4!F20)+SUM(Table5!F20))</f>
        <v>NA</v>
      </c>
      <c r="G65" s="243" t="str">
        <f>IF(OR(G20="NA",Table4!G20="NA",Table5!G20="NA"),"NA",-SUM(G20)+SUM(Table4!G20)+SUM(Table5!G20))</f>
        <v>NA</v>
      </c>
      <c r="H65" s="243" t="str">
        <f>IF(OR(H20="NA",Table4!H20="NA",Table5!H20="NA"),"NA",-SUM(H20)+SUM(Table4!H20)+SUM(Table5!H20))</f>
        <v>NA</v>
      </c>
      <c r="I65" s="243" t="str">
        <f>IF(OR(I20="NA",Table4!I20="NA",Table5!I20="NA"),"NA",-SUM(I20)+SUM(Table4!I20)+SUM(Table5!I20))</f>
        <v>NA</v>
      </c>
      <c r="J65" s="243" t="str">
        <f>IF(OR(J20="NA",Table4!J20="NA",Table5!J20="NA"),"NA",-SUM(J20)+SUM(Table4!J20)+SUM(Table5!J20))</f>
        <v>NA</v>
      </c>
      <c r="K65" s="243" t="str">
        <f>IF(OR(K20="NA",Table4!K20="NA",Table5!K20="NA"),"NA",-SUM(K20)+SUM(Table4!K20)+SUM(Table5!K20))</f>
        <v>NA</v>
      </c>
      <c r="L65" s="243" t="str">
        <f>IF(OR(L20="NA",Table4!L20="NA",Table5!L20="NA"),"NA",-SUM(L20)+SUM(Table4!L20)+SUM(Table5!L20))</f>
        <v>NA</v>
      </c>
      <c r="M65" s="243" t="str">
        <f>IF(OR(M20="NA",Table4!M20="NA",Table5!M20="NA"),"NA",-SUM(M20)+SUM(Table4!M20)+SUM(Table5!M20))</f>
        <v>NA</v>
      </c>
      <c r="N65" s="243" t="str">
        <f>IF(OR(N20="NA",Table4!N20="NA",Table5!N20="NA"),"NA",-SUM(N20)+SUM(Table4!N20)+SUM(Table5!N20))</f>
        <v>NA</v>
      </c>
      <c r="O65" s="202"/>
      <c r="P65" s="202"/>
      <c r="Q65" s="202"/>
    </row>
    <row r="66" spans="2:17" ht="10.35" hidden="1" customHeight="1" x14ac:dyDescent="0.2">
      <c r="B66" s="274"/>
      <c r="C66" s="136" t="s">
        <v>943</v>
      </c>
      <c r="D66" s="76" t="s">
        <v>48</v>
      </c>
      <c r="E66" s="243" t="str">
        <f>IF(OR(E21="NA",Table4!E21="NA",Table5!E21="NA"),"NA",-SUM(E21)+SUM(Table4!E21)+SUM(Table5!E21))</f>
        <v>NA</v>
      </c>
      <c r="F66" s="243" t="str">
        <f>IF(OR(F21="NA",Table4!F21="NA",Table5!F21="NA"),"NA",-SUM(F21)+SUM(Table4!F21)+SUM(Table5!F21))</f>
        <v>NA</v>
      </c>
      <c r="G66" s="243" t="str">
        <f>IF(OR(G21="NA",Table4!G21="NA",Table5!G21="NA"),"NA",-SUM(G21)+SUM(Table4!G21)+SUM(Table5!G21))</f>
        <v>NA</v>
      </c>
      <c r="H66" s="243" t="str">
        <f>IF(OR(H21="NA",Table4!H21="NA",Table5!H21="NA"),"NA",-SUM(H21)+SUM(Table4!H21)+SUM(Table5!H21))</f>
        <v>NA</v>
      </c>
      <c r="I66" s="243" t="str">
        <f>IF(OR(I21="NA",Table4!I21="NA",Table5!I21="NA"),"NA",-SUM(I21)+SUM(Table4!I21)+SUM(Table5!I21))</f>
        <v>NA</v>
      </c>
      <c r="J66" s="243" t="str">
        <f>IF(OR(J21="NA",Table4!J21="NA",Table5!J21="NA"),"NA",-SUM(J21)+SUM(Table4!J21)+SUM(Table5!J21))</f>
        <v>NA</v>
      </c>
      <c r="K66" s="243" t="str">
        <f>IF(OR(K21="NA",Table4!K21="NA",Table5!K21="NA"),"NA",-SUM(K21)+SUM(Table4!K21)+SUM(Table5!K21))</f>
        <v>NA</v>
      </c>
      <c r="L66" s="243" t="str">
        <f>IF(OR(L21="NA",Table4!L21="NA",Table5!L21="NA"),"NA",-SUM(L21)+SUM(Table4!L21)+SUM(Table5!L21))</f>
        <v>NA</v>
      </c>
      <c r="M66" s="243" t="str">
        <f>IF(OR(M21="NA",Table4!M21="NA",Table5!M21="NA"),"NA",-SUM(M21)+SUM(Table4!M21)+SUM(Table5!M21))</f>
        <v>NA</v>
      </c>
      <c r="N66" s="243" t="str">
        <f>IF(OR(N21="NA",Table4!N21="NA",Table5!N21="NA"),"NA",-SUM(N21)+SUM(Table4!N21)+SUM(Table5!N21))</f>
        <v>NA</v>
      </c>
      <c r="O66" s="202"/>
      <c r="P66" s="202"/>
      <c r="Q66" s="202"/>
    </row>
    <row r="67" spans="2:17" ht="10.35" hidden="1" customHeight="1" x14ac:dyDescent="0.2">
      <c r="B67" s="274"/>
      <c r="C67" s="136" t="s">
        <v>944</v>
      </c>
      <c r="D67" s="76" t="s">
        <v>48</v>
      </c>
      <c r="E67" s="243" t="str">
        <f>IF(OR(E22="NA",Table4!E22="NA",Table5!E22="NA"),"NA",-SUM(E22)+SUM(Table4!E22)+SUM(Table5!E22))</f>
        <v>NA</v>
      </c>
      <c r="F67" s="243" t="str">
        <f>IF(OR(F22="NA",Table4!F22="NA",Table5!F22="NA"),"NA",-SUM(F22)+SUM(Table4!F22)+SUM(Table5!F22))</f>
        <v>NA</v>
      </c>
      <c r="G67" s="243" t="str">
        <f>IF(OR(G22="NA",Table4!G22="NA",Table5!G22="NA"),"NA",-SUM(G22)+SUM(Table4!G22)+SUM(Table5!G22))</f>
        <v>NA</v>
      </c>
      <c r="H67" s="243" t="str">
        <f>IF(OR(H22="NA",Table4!H22="NA",Table5!H22="NA"),"NA",-SUM(H22)+SUM(Table4!H22)+SUM(Table5!H22))</f>
        <v>NA</v>
      </c>
      <c r="I67" s="243" t="str">
        <f>IF(OR(I22="NA",Table4!I22="NA",Table5!I22="NA"),"NA",-SUM(I22)+SUM(Table4!I22)+SUM(Table5!I22))</f>
        <v>NA</v>
      </c>
      <c r="J67" s="243" t="str">
        <f>IF(OR(J22="NA",Table4!J22="NA",Table5!J22="NA"),"NA",-SUM(J22)+SUM(Table4!J22)+SUM(Table5!J22))</f>
        <v>NA</v>
      </c>
      <c r="K67" s="243" t="str">
        <f>IF(OR(K22="NA",Table4!K22="NA",Table5!K22="NA"),"NA",-SUM(K22)+SUM(Table4!K22)+SUM(Table5!K22))</f>
        <v>NA</v>
      </c>
      <c r="L67" s="243" t="str">
        <f>IF(OR(L22="NA",Table4!L22="NA",Table5!L22="NA"),"NA",-SUM(L22)+SUM(Table4!L22)+SUM(Table5!L22))</f>
        <v>NA</v>
      </c>
      <c r="M67" s="243" t="str">
        <f>IF(OR(M22="NA",Table4!M22="NA",Table5!M22="NA"),"NA",-SUM(M22)+SUM(Table4!M22)+SUM(Table5!M22))</f>
        <v>NA</v>
      </c>
      <c r="N67" s="243" t="str">
        <f>IF(OR(N22="NA",Table4!N22="NA",Table5!N22="NA"),"NA",-SUM(N22)+SUM(Table4!N22)+SUM(Table5!N22))</f>
        <v>NA</v>
      </c>
      <c r="O67" s="202"/>
      <c r="P67" s="202"/>
      <c r="Q67" s="202"/>
    </row>
    <row r="68" spans="2:17" ht="10.35" hidden="1" customHeight="1" x14ac:dyDescent="0.2">
      <c r="B68" s="274"/>
      <c r="C68" s="136" t="s">
        <v>945</v>
      </c>
      <c r="D68" s="76" t="s">
        <v>48</v>
      </c>
      <c r="E68" s="243" t="str">
        <f>IF(OR(E23="NA",Table4!E23="NA",Table5!E23="NA"),"NA",-SUM(E23)+SUM(Table4!E23)+SUM(Table5!E23))</f>
        <v>NA</v>
      </c>
      <c r="F68" s="243" t="str">
        <f>IF(OR(F23="NA",Table4!F23="NA",Table5!F23="NA"),"NA",-SUM(F23)+SUM(Table4!F23)+SUM(Table5!F23))</f>
        <v>NA</v>
      </c>
      <c r="G68" s="243" t="str">
        <f>IF(OR(G23="NA",Table4!G23="NA",Table5!G23="NA"),"NA",-SUM(G23)+SUM(Table4!G23)+SUM(Table5!G23))</f>
        <v>NA</v>
      </c>
      <c r="H68" s="243" t="str">
        <f>IF(OR(H23="NA",Table4!H23="NA",Table5!H23="NA"),"NA",-SUM(H23)+SUM(Table4!H23)+SUM(Table5!H23))</f>
        <v>NA</v>
      </c>
      <c r="I68" s="243" t="str">
        <f>IF(OR(I23="NA",Table4!I23="NA",Table5!I23="NA"),"NA",-SUM(I23)+SUM(Table4!I23)+SUM(Table5!I23))</f>
        <v>NA</v>
      </c>
      <c r="J68" s="243" t="str">
        <f>IF(OR(J23="NA",Table4!J23="NA",Table5!J23="NA"),"NA",-SUM(J23)+SUM(Table4!J23)+SUM(Table5!J23))</f>
        <v>NA</v>
      </c>
      <c r="K68" s="243" t="str">
        <f>IF(OR(K23="NA",Table4!K23="NA",Table5!K23="NA"),"NA",-SUM(K23)+SUM(Table4!K23)+SUM(Table5!K23))</f>
        <v>NA</v>
      </c>
      <c r="L68" s="243" t="str">
        <f>IF(OR(L23="NA",Table4!L23="NA",Table5!L23="NA"),"NA",-SUM(L23)+SUM(Table4!L23)+SUM(Table5!L23))</f>
        <v>NA</v>
      </c>
      <c r="M68" s="243" t="str">
        <f>IF(OR(M23="NA",Table4!M23="NA",Table5!M23="NA"),"NA",-SUM(M23)+SUM(Table4!M23)+SUM(Table5!M23))</f>
        <v>NA</v>
      </c>
      <c r="N68" s="243" t="str">
        <f>IF(OR(N23="NA",Table4!N23="NA",Table5!N23="NA"),"NA",-SUM(N23)+SUM(Table4!N23)+SUM(Table5!N23))</f>
        <v>NA</v>
      </c>
      <c r="O68" s="202"/>
      <c r="P68" s="202"/>
      <c r="Q68" s="202"/>
    </row>
    <row r="69" spans="2:17" ht="10.35" hidden="1" customHeight="1" x14ac:dyDescent="0.2">
      <c r="B69" s="274"/>
      <c r="C69" s="136" t="s">
        <v>946</v>
      </c>
      <c r="D69" s="76" t="s">
        <v>48</v>
      </c>
      <c r="E69" s="243" t="str">
        <f>IF(OR(E24="NA",Table4!E24="NA",Table5!E24="NA"),"NA",-SUM(E24)+SUM(Table4!E24)+SUM(Table5!E24))</f>
        <v>NA</v>
      </c>
      <c r="F69" s="243" t="str">
        <f>IF(OR(F24="NA",Table4!F24="NA",Table5!F24="NA"),"NA",-SUM(F24)+SUM(Table4!F24)+SUM(Table5!F24))</f>
        <v>NA</v>
      </c>
      <c r="G69" s="243" t="str">
        <f>IF(OR(G24="NA",Table4!G24="NA",Table5!G24="NA"),"NA",-SUM(G24)+SUM(Table4!G24)+SUM(Table5!G24))</f>
        <v>NA</v>
      </c>
      <c r="H69" s="243" t="str">
        <f>IF(OR(H24="NA",Table4!H24="NA",Table5!H24="NA"),"NA",-SUM(H24)+SUM(Table4!H24)+SUM(Table5!H24))</f>
        <v>NA</v>
      </c>
      <c r="I69" s="243" t="str">
        <f>IF(OR(I24="NA",Table4!I24="NA",Table5!I24="NA"),"NA",-SUM(I24)+SUM(Table4!I24)+SUM(Table5!I24))</f>
        <v>NA</v>
      </c>
      <c r="J69" s="243" t="str">
        <f>IF(OR(J24="NA",Table4!J24="NA",Table5!J24="NA"),"NA",-SUM(J24)+SUM(Table4!J24)+SUM(Table5!J24))</f>
        <v>NA</v>
      </c>
      <c r="K69" s="243" t="str">
        <f>IF(OR(K24="NA",Table4!K24="NA",Table5!K24="NA"),"NA",-SUM(K24)+SUM(Table4!K24)+SUM(Table5!K24))</f>
        <v>NA</v>
      </c>
      <c r="L69" s="243" t="str">
        <f>IF(OR(L24="NA",Table4!L24="NA",Table5!L24="NA"),"NA",-SUM(L24)+SUM(Table4!L24)+SUM(Table5!L24))</f>
        <v>NA</v>
      </c>
      <c r="M69" s="243" t="str">
        <f>IF(OR(M24="NA",Table4!M24="NA",Table5!M24="NA"),"NA",-SUM(M24)+SUM(Table4!M24)+SUM(Table5!M24))</f>
        <v>NA</v>
      </c>
      <c r="N69" s="243" t="str">
        <f>IF(OR(N24="NA",Table4!N24="NA",Table5!N24="NA"),"NA",-SUM(N24)+SUM(Table4!N24)+SUM(Table5!N24))</f>
        <v>NA</v>
      </c>
      <c r="O69" s="202"/>
      <c r="P69" s="202"/>
      <c r="Q69" s="202"/>
    </row>
    <row r="70" spans="2:17" ht="10.35" customHeight="1" x14ac:dyDescent="0.2">
      <c r="B70" s="274"/>
      <c r="C70" s="136" t="s">
        <v>947</v>
      </c>
      <c r="D70" s="76" t="s">
        <v>48</v>
      </c>
      <c r="E70" s="243">
        <f>IF(OR(E25="NA",Table4!E25="NA",Table5!E25="NA"),"NA",-SUM(E25)+SUM(Table4!E25)+SUM(Table5!E25))</f>
        <v>0</v>
      </c>
      <c r="F70" s="243">
        <f>IF(OR(F25="NA",Table4!F25="NA",Table5!F25="NA"),"NA",-SUM(F25)+SUM(Table4!F25)+SUM(Table5!F25))</f>
        <v>0</v>
      </c>
      <c r="G70" s="243">
        <f>IF(OR(G25="NA",Table4!G25="NA",Table5!G25="NA"),"NA",-SUM(G25)+SUM(Table4!G25)+SUM(Table5!G25))</f>
        <v>0</v>
      </c>
      <c r="H70" s="243">
        <f>IF(OR(H25="NA",Table4!H25="NA",Table5!H25="NA"),"NA",-SUM(H25)+SUM(Table4!H25)+SUM(Table5!H25))</f>
        <v>-9.0949470177292824E-13</v>
      </c>
      <c r="I70" s="243">
        <f>IF(OR(I25="NA",Table4!I25="NA",Table5!I25="NA"),"NA",-SUM(I25)+SUM(Table4!I25)+SUM(Table5!I25))</f>
        <v>0</v>
      </c>
      <c r="J70" s="243">
        <f>IF(OR(J25="NA",Table4!J25="NA",Table5!J25="NA"),"NA",-SUM(J25)+SUM(Table4!J25)+SUM(Table5!J25))</f>
        <v>0</v>
      </c>
      <c r="K70" s="243">
        <f>IF(OR(K25="NA",Table4!K25="NA",Table5!K25="NA"),"NA",-SUM(K25)+SUM(Table4!K25)+SUM(Table5!K25))</f>
        <v>0</v>
      </c>
      <c r="L70" s="243">
        <f>IF(OR(L25="NA",Table4!L25="NA",Table5!L25="NA"),"NA",-SUM(L25)+SUM(Table4!L25)+SUM(Table5!L25))</f>
        <v>0</v>
      </c>
      <c r="M70" s="243">
        <f>IF(OR(M25="NA",Table4!M25="NA",Table5!M25="NA"),"NA",-SUM(M25)+SUM(Table4!M25)+SUM(Table5!M25))</f>
        <v>-1.8189894035458565E-12</v>
      </c>
      <c r="N70" s="243">
        <f>IF(OR(N25="NA",Table4!N25="NA",Table5!N25="NA"),"NA",-SUM(N25)+SUM(Table4!N25)+SUM(Table5!N25))</f>
        <v>-9.0949470177292824E-13</v>
      </c>
      <c r="O70" s="202"/>
      <c r="P70" s="202"/>
      <c r="Q70" s="202"/>
    </row>
    <row r="71" spans="2:17" s="271" customFormat="1" ht="10.35" hidden="1" customHeight="1" x14ac:dyDescent="0.2">
      <c r="B71" s="274"/>
      <c r="C71" s="136" t="s">
        <v>948</v>
      </c>
      <c r="D71" s="136" t="s">
        <v>48</v>
      </c>
      <c r="E71" s="243" t="str">
        <f>IF(OR(E26="NA",Table4!E26="NA",Table5!E26="NA"),"NA",-SUM(E26)+SUM(Table4!E26)+SUM(Table5!E26))</f>
        <v>NA</v>
      </c>
      <c r="F71" s="243" t="str">
        <f>IF(OR(F26="NA",Table4!F26="NA",Table5!F26="NA"),"NA",-SUM(F26)+SUM(Table4!F26)+SUM(Table5!F26))</f>
        <v>NA</v>
      </c>
      <c r="G71" s="243" t="str">
        <f>IF(OR(G26="NA",Table4!G26="NA",Table5!G26="NA"),"NA",-SUM(G26)+SUM(Table4!G26)+SUM(Table5!G26))</f>
        <v>NA</v>
      </c>
      <c r="H71" s="243" t="str">
        <f>IF(OR(H26="NA",Table4!H26="NA",Table5!H26="NA"),"NA",-SUM(H26)+SUM(Table4!H26)+SUM(Table5!H26))</f>
        <v>NA</v>
      </c>
      <c r="I71" s="243" t="str">
        <f>IF(OR(I26="NA",Table4!I26="NA",Table5!I26="NA"),"NA",-SUM(I26)+SUM(Table4!I26)+SUM(Table5!I26))</f>
        <v>NA</v>
      </c>
      <c r="J71" s="243" t="str">
        <f>IF(OR(J26="NA",Table4!J26="NA",Table5!J26="NA"),"NA",-SUM(J26)+SUM(Table4!J26)+SUM(Table5!J26))</f>
        <v>NA</v>
      </c>
      <c r="K71" s="243" t="str">
        <f>IF(OR(K26="NA",Table4!K26="NA",Table5!K26="NA"),"NA",-SUM(K26)+SUM(Table4!K26)+SUM(Table5!K26))</f>
        <v>NA</v>
      </c>
      <c r="L71" s="243" t="str">
        <f>IF(OR(L26="NA",Table4!L26="NA",Table5!L26="NA"),"NA",-SUM(L26)+SUM(Table4!L26)+SUM(Table5!L26))</f>
        <v>NA</v>
      </c>
      <c r="M71" s="243" t="str">
        <f>IF(OR(M26="NA",Table4!M26="NA",Table5!M26="NA"),"NA",-SUM(M26)+SUM(Table4!M26)+SUM(Table5!M26))</f>
        <v>NA</v>
      </c>
      <c r="N71" s="243" t="str">
        <f>IF(OR(N26="NA",Table4!N26="NA",Table5!N26="NA"),"NA",-SUM(N26)+SUM(Table4!N26)+SUM(Table5!N26))</f>
        <v>NA</v>
      </c>
      <c r="O71" s="296"/>
      <c r="P71" s="296"/>
      <c r="Q71" s="296"/>
    </row>
    <row r="72" spans="2:17" s="271" customFormat="1" ht="10.35" hidden="1" customHeight="1" x14ac:dyDescent="0.2">
      <c r="B72" s="274"/>
      <c r="C72" s="136" t="s">
        <v>949</v>
      </c>
      <c r="D72" s="136" t="s">
        <v>48</v>
      </c>
      <c r="E72" s="243" t="str">
        <f>IF(OR(E27="NA",Table4!E27="NA",Table5!E27="NA"),"NA",-SUM(E27)+SUM(Table4!E27)+SUM(Table5!E27))</f>
        <v>NA</v>
      </c>
      <c r="F72" s="243" t="str">
        <f>IF(OR(F27="NA",Table4!F27="NA",Table5!F27="NA"),"NA",-SUM(F27)+SUM(Table4!F27)+SUM(Table5!F27))</f>
        <v>NA</v>
      </c>
      <c r="G72" s="243" t="str">
        <f>IF(OR(G27="NA",Table4!G27="NA",Table5!G27="NA"),"NA",-SUM(G27)+SUM(Table4!G27)+SUM(Table5!G27))</f>
        <v>NA</v>
      </c>
      <c r="H72" s="243" t="str">
        <f>IF(OR(H27="NA",Table4!H27="NA",Table5!H27="NA"),"NA",-SUM(H27)+SUM(Table4!H27)+SUM(Table5!H27))</f>
        <v>NA</v>
      </c>
      <c r="I72" s="243" t="str">
        <f>IF(OR(I27="NA",Table4!I27="NA",Table5!I27="NA"),"NA",-SUM(I27)+SUM(Table4!I27)+SUM(Table5!I27))</f>
        <v>NA</v>
      </c>
      <c r="J72" s="243" t="str">
        <f>IF(OR(J27="NA",Table4!J27="NA",Table5!J27="NA"),"NA",-SUM(J27)+SUM(Table4!J27)+SUM(Table5!J27))</f>
        <v>NA</v>
      </c>
      <c r="K72" s="243" t="str">
        <f>IF(OR(K27="NA",Table4!K27="NA",Table5!K27="NA"),"NA",-SUM(K27)+SUM(Table4!K27)+SUM(Table5!K27))</f>
        <v>NA</v>
      </c>
      <c r="L72" s="243" t="str">
        <f>IF(OR(L27="NA",Table4!L27="NA",Table5!L27="NA"),"NA",-SUM(L27)+SUM(Table4!L27)+SUM(Table5!L27))</f>
        <v>NA</v>
      </c>
      <c r="M72" s="243" t="str">
        <f>IF(OR(M27="NA",Table4!M27="NA",Table5!M27="NA"),"NA",-SUM(M27)+SUM(Table4!M27)+SUM(Table5!M27))</f>
        <v>NA</v>
      </c>
      <c r="N72" s="243" t="str">
        <f>IF(OR(N27="NA",Table4!N27="NA",Table5!N27="NA"),"NA",-SUM(N27)+SUM(Table4!N27)+SUM(Table5!N27))</f>
        <v>NA</v>
      </c>
      <c r="O72" s="296"/>
      <c r="P72" s="296"/>
      <c r="Q72" s="296"/>
    </row>
    <row r="73" spans="2:17" ht="10.35" hidden="1" customHeight="1" x14ac:dyDescent="0.2">
      <c r="B73" s="274"/>
      <c r="C73" s="136" t="s">
        <v>950</v>
      </c>
      <c r="D73" s="76" t="s">
        <v>48</v>
      </c>
      <c r="E73" s="243" t="str">
        <f>IF(OR(E28="NA",Table4!E28="NA",Table5!E28="NA"),"NA",-SUM(E28)+SUM(Table4!E28)+SUM(Table5!E28))</f>
        <v>NA</v>
      </c>
      <c r="F73" s="243" t="str">
        <f>IF(OR(F28="NA",Table4!F28="NA",Table5!F28="NA"),"NA",-SUM(F28)+SUM(Table4!F28)+SUM(Table5!F28))</f>
        <v>NA</v>
      </c>
      <c r="G73" s="243" t="str">
        <f>IF(OR(G28="NA",Table4!G28="NA",Table5!G28="NA"),"NA",-SUM(G28)+SUM(Table4!G28)+SUM(Table5!G28))</f>
        <v>NA</v>
      </c>
      <c r="H73" s="243" t="str">
        <f>IF(OR(H28="NA",Table4!H28="NA",Table5!H28="NA"),"NA",-SUM(H28)+SUM(Table4!H28)+SUM(Table5!H28))</f>
        <v>NA</v>
      </c>
      <c r="I73" s="243" t="str">
        <f>IF(OR(I28="NA",Table4!I28="NA",Table5!I28="NA"),"NA",-SUM(I28)+SUM(Table4!I28)+SUM(Table5!I28))</f>
        <v>NA</v>
      </c>
      <c r="J73" s="243" t="str">
        <f>IF(OR(J28="NA",Table4!J28="NA",Table5!J28="NA"),"NA",-SUM(J28)+SUM(Table4!J28)+SUM(Table5!J28))</f>
        <v>NA</v>
      </c>
      <c r="K73" s="243" t="str">
        <f>IF(OR(K28="NA",Table4!K28="NA",Table5!K28="NA"),"NA",-SUM(K28)+SUM(Table4!K28)+SUM(Table5!K28))</f>
        <v>NA</v>
      </c>
      <c r="L73" s="243" t="str">
        <f>IF(OR(L28="NA",Table4!L28="NA",Table5!L28="NA"),"NA",-SUM(L28)+SUM(Table4!L28)+SUM(Table5!L28))</f>
        <v>NA</v>
      </c>
      <c r="M73" s="243" t="str">
        <f>IF(OR(M28="NA",Table4!M28="NA",Table5!M28="NA"),"NA",-SUM(M28)+SUM(Table4!M28)+SUM(Table5!M28))</f>
        <v>NA</v>
      </c>
      <c r="N73" s="243" t="str">
        <f>IF(OR(N28="NA",Table4!N28="NA",Table5!N28="NA"),"NA",-SUM(N28)+SUM(Table4!N28)+SUM(Table5!N28))</f>
        <v>NA</v>
      </c>
      <c r="O73" s="202"/>
      <c r="P73" s="202"/>
      <c r="Q73" s="202"/>
    </row>
    <row r="74" spans="2:17" ht="10.35" hidden="1" customHeight="1" x14ac:dyDescent="0.2">
      <c r="B74" s="274"/>
      <c r="C74" s="136" t="s">
        <v>951</v>
      </c>
      <c r="D74" s="76" t="s">
        <v>48</v>
      </c>
      <c r="E74" s="243" t="str">
        <f>IF(OR(E29="NA",Table4!E29="NA",Table5!E29="NA"),"NA",-SUM(E29)+SUM(Table4!E29)+SUM(Table5!E29))</f>
        <v>NA</v>
      </c>
      <c r="F74" s="243" t="str">
        <f>IF(OR(F29="NA",Table4!F29="NA",Table5!F29="NA"),"NA",-SUM(F29)+SUM(Table4!F29)+SUM(Table5!F29))</f>
        <v>NA</v>
      </c>
      <c r="G74" s="243" t="str">
        <f>IF(OR(G29="NA",Table4!G29="NA",Table5!G29="NA"),"NA",-SUM(G29)+SUM(Table4!G29)+SUM(Table5!G29))</f>
        <v>NA</v>
      </c>
      <c r="H74" s="243" t="str">
        <f>IF(OR(H29="NA",Table4!H29="NA",Table5!H29="NA"),"NA",-SUM(H29)+SUM(Table4!H29)+SUM(Table5!H29))</f>
        <v>NA</v>
      </c>
      <c r="I74" s="243" t="str">
        <f>IF(OR(I29="NA",Table4!I29="NA",Table5!I29="NA"),"NA",-SUM(I29)+SUM(Table4!I29)+SUM(Table5!I29))</f>
        <v>NA</v>
      </c>
      <c r="J74" s="243" t="str">
        <f>IF(OR(J29="NA",Table4!J29="NA",Table5!J29="NA"),"NA",-SUM(J29)+SUM(Table4!J29)+SUM(Table5!J29))</f>
        <v>NA</v>
      </c>
      <c r="K74" s="243" t="str">
        <f>IF(OR(K29="NA",Table4!K29="NA",Table5!K29="NA"),"NA",-SUM(K29)+SUM(Table4!K29)+SUM(Table5!K29))</f>
        <v>NA</v>
      </c>
      <c r="L74" s="243" t="str">
        <f>IF(OR(L29="NA",Table4!L29="NA",Table5!L29="NA"),"NA",-SUM(L29)+SUM(Table4!L29)+SUM(Table5!L29))</f>
        <v>NA</v>
      </c>
      <c r="M74" s="243" t="str">
        <f>IF(OR(M29="NA",Table4!M29="NA",Table5!M29="NA"),"NA",-SUM(M29)+SUM(Table4!M29)+SUM(Table5!M29))</f>
        <v>NA</v>
      </c>
      <c r="N74" s="243" t="str">
        <f>IF(OR(N29="NA",Table4!N29="NA",Table5!N29="NA"),"NA",-SUM(N29)+SUM(Table4!N29)+SUM(Table5!N29))</f>
        <v>NA</v>
      </c>
      <c r="O74" s="202"/>
      <c r="P74" s="202"/>
      <c r="Q74" s="202"/>
    </row>
    <row r="75" spans="2:17" ht="10.35" hidden="1" customHeight="1" x14ac:dyDescent="0.2">
      <c r="B75" s="274"/>
      <c r="C75" s="136" t="s">
        <v>952</v>
      </c>
      <c r="D75" s="76" t="s">
        <v>48</v>
      </c>
      <c r="E75" s="243" t="str">
        <f>IF(OR(E30="NA",Table4!E30="NA",Table5!E30="NA"),"NA",-SUM(E30)+SUM(Table4!E30)+SUM(Table5!E30))</f>
        <v>NA</v>
      </c>
      <c r="F75" s="243" t="str">
        <f>IF(OR(F30="NA",Table4!F30="NA",Table5!F30="NA"),"NA",-SUM(F30)+SUM(Table4!F30)+SUM(Table5!F30))</f>
        <v>NA</v>
      </c>
      <c r="G75" s="243" t="str">
        <f>IF(OR(G30="NA",Table4!G30="NA",Table5!G30="NA"),"NA",-SUM(G30)+SUM(Table4!G30)+SUM(Table5!G30))</f>
        <v>NA</v>
      </c>
      <c r="H75" s="243" t="str">
        <f>IF(OR(H30="NA",Table4!H30="NA",Table5!H30="NA"),"NA",-SUM(H30)+SUM(Table4!H30)+SUM(Table5!H30))</f>
        <v>NA</v>
      </c>
      <c r="I75" s="243" t="str">
        <f>IF(OR(I30="NA",Table4!I30="NA",Table5!I30="NA"),"NA",-SUM(I30)+SUM(Table4!I30)+SUM(Table5!I30))</f>
        <v>NA</v>
      </c>
      <c r="J75" s="243" t="str">
        <f>IF(OR(J30="NA",Table4!J30="NA",Table5!J30="NA"),"NA",-SUM(J30)+SUM(Table4!J30)+SUM(Table5!J30))</f>
        <v>NA</v>
      </c>
      <c r="K75" s="243" t="str">
        <f>IF(OR(K30="NA",Table4!K30="NA",Table5!K30="NA"),"NA",-SUM(K30)+SUM(Table4!K30)+SUM(Table5!K30))</f>
        <v>NA</v>
      </c>
      <c r="L75" s="243" t="str">
        <f>IF(OR(L30="NA",Table4!L30="NA",Table5!L30="NA"),"NA",-SUM(L30)+SUM(Table4!L30)+SUM(Table5!L30))</f>
        <v>NA</v>
      </c>
      <c r="M75" s="243" t="str">
        <f>IF(OR(M30="NA",Table4!M30="NA",Table5!M30="NA"),"NA",-SUM(M30)+SUM(Table4!M30)+SUM(Table5!M30))</f>
        <v>NA</v>
      </c>
      <c r="N75" s="243" t="str">
        <f>IF(OR(N30="NA",Table4!N30="NA",Table5!N30="NA"),"NA",-SUM(N30)+SUM(Table4!N30)+SUM(Table5!N30))</f>
        <v>NA</v>
      </c>
      <c r="O75" s="202"/>
      <c r="P75" s="202"/>
      <c r="Q75" s="202"/>
    </row>
    <row r="76" spans="2:17" ht="10.35" hidden="1" customHeight="1" x14ac:dyDescent="0.2">
      <c r="B76" s="274"/>
      <c r="C76" s="136" t="s">
        <v>953</v>
      </c>
      <c r="D76" s="76" t="s">
        <v>48</v>
      </c>
      <c r="E76" s="243" t="str">
        <f>IF(OR(E31="NA",Table4!E31="NA",Table5!E31="NA"),"NA",-SUM(E31)+SUM(Table4!E31)+SUM(Table5!E31))</f>
        <v>NA</v>
      </c>
      <c r="F76" s="243" t="str">
        <f>IF(OR(F31="NA",Table4!F31="NA",Table5!F31="NA"),"NA",-SUM(F31)+SUM(Table4!F31)+SUM(Table5!F31))</f>
        <v>NA</v>
      </c>
      <c r="G76" s="243" t="str">
        <f>IF(OR(G31="NA",Table4!G31="NA",Table5!G31="NA"),"NA",-SUM(G31)+SUM(Table4!G31)+SUM(Table5!G31))</f>
        <v>NA</v>
      </c>
      <c r="H76" s="243" t="str">
        <f>IF(OR(H31="NA",Table4!H31="NA",Table5!H31="NA"),"NA",-SUM(H31)+SUM(Table4!H31)+SUM(Table5!H31))</f>
        <v>NA</v>
      </c>
      <c r="I76" s="243" t="str">
        <f>IF(OR(I31="NA",Table4!I31="NA",Table5!I31="NA"),"NA",-SUM(I31)+SUM(Table4!I31)+SUM(Table5!I31))</f>
        <v>NA</v>
      </c>
      <c r="J76" s="243" t="str">
        <f>IF(OR(J31="NA",Table4!J31="NA",Table5!J31="NA"),"NA",-SUM(J31)+SUM(Table4!J31)+SUM(Table5!J31))</f>
        <v>NA</v>
      </c>
      <c r="K76" s="243" t="str">
        <f>IF(OR(K31="NA",Table4!K31="NA",Table5!K31="NA"),"NA",-SUM(K31)+SUM(Table4!K31)+SUM(Table5!K31))</f>
        <v>NA</v>
      </c>
      <c r="L76" s="243" t="str">
        <f>IF(OR(L31="NA",Table4!L31="NA",Table5!L31="NA"),"NA",-SUM(L31)+SUM(Table4!L31)+SUM(Table5!L31))</f>
        <v>NA</v>
      </c>
      <c r="M76" s="243" t="str">
        <f>IF(OR(M31="NA",Table4!M31="NA",Table5!M31="NA"),"NA",-SUM(M31)+SUM(Table4!M31)+SUM(Table5!M31))</f>
        <v>NA</v>
      </c>
      <c r="N76" s="243" t="str">
        <f>IF(OR(N31="NA",Table4!N31="NA",Table5!N31="NA"),"NA",-SUM(N31)+SUM(Table4!N31)+SUM(Table5!N31))</f>
        <v>NA</v>
      </c>
      <c r="O76" s="202"/>
      <c r="P76" s="202"/>
      <c r="Q76" s="202"/>
    </row>
    <row r="77" spans="2:17" ht="10.35" hidden="1" customHeight="1" x14ac:dyDescent="0.2">
      <c r="B77" s="274"/>
      <c r="C77" s="136" t="s">
        <v>954</v>
      </c>
      <c r="D77" s="76" t="s">
        <v>48</v>
      </c>
      <c r="E77" s="243" t="str">
        <f>IF(OR(E32="NA",Table4!E32="NA",Table5!E32="NA"),"NA",-SUM(E32)+SUM(Table4!E32)+SUM(Table5!E32))</f>
        <v>NA</v>
      </c>
      <c r="F77" s="243" t="str">
        <f>IF(OR(F32="NA",Table4!F32="NA",Table5!F32="NA"),"NA",-SUM(F32)+SUM(Table4!F32)+SUM(Table5!F32))</f>
        <v>NA</v>
      </c>
      <c r="G77" s="243" t="str">
        <f>IF(OR(G32="NA",Table4!G32="NA",Table5!G32="NA"),"NA",-SUM(G32)+SUM(Table4!G32)+SUM(Table5!G32))</f>
        <v>NA</v>
      </c>
      <c r="H77" s="243" t="str">
        <f>IF(OR(H32="NA",Table4!H32="NA",Table5!H32="NA"),"NA",-SUM(H32)+SUM(Table4!H32)+SUM(Table5!H32))</f>
        <v>NA</v>
      </c>
      <c r="I77" s="243" t="str">
        <f>IF(OR(I32="NA",Table4!I32="NA",Table5!I32="NA"),"NA",-SUM(I32)+SUM(Table4!I32)+SUM(Table5!I32))</f>
        <v>NA</v>
      </c>
      <c r="J77" s="243" t="str">
        <f>IF(OR(J32="NA",Table4!J32="NA",Table5!J32="NA"),"NA",-SUM(J32)+SUM(Table4!J32)+SUM(Table5!J32))</f>
        <v>NA</v>
      </c>
      <c r="K77" s="243" t="str">
        <f>IF(OR(K32="NA",Table4!K32="NA",Table5!K32="NA"),"NA",-SUM(K32)+SUM(Table4!K32)+SUM(Table5!K32))</f>
        <v>NA</v>
      </c>
      <c r="L77" s="243" t="str">
        <f>IF(OR(L32="NA",Table4!L32="NA",Table5!L32="NA"),"NA",-SUM(L32)+SUM(Table4!L32)+SUM(Table5!L32))</f>
        <v>NA</v>
      </c>
      <c r="M77" s="243" t="str">
        <f>IF(OR(M32="NA",Table4!M32="NA",Table5!M32="NA"),"NA",-SUM(M32)+SUM(Table4!M32)+SUM(Table5!M32))</f>
        <v>NA</v>
      </c>
      <c r="N77" s="243" t="str">
        <f>IF(OR(N32="NA",Table4!N32="NA",Table5!N32="NA"),"NA",-SUM(N32)+SUM(Table4!N32)+SUM(Table5!N32))</f>
        <v>NA</v>
      </c>
      <c r="O77" s="202"/>
      <c r="P77" s="202"/>
      <c r="Q77" s="202"/>
    </row>
    <row r="78" spans="2:17" ht="10.35" hidden="1" customHeight="1" x14ac:dyDescent="0.2">
      <c r="B78" s="274"/>
      <c r="C78" s="136" t="s">
        <v>955</v>
      </c>
      <c r="D78" s="76" t="s">
        <v>48</v>
      </c>
      <c r="E78" s="243" t="str">
        <f>IF(OR(E33="NA",Table4!E33="NA",Table5!E33="NA"),"NA",-SUM(E33)+SUM(Table4!E33)+SUM(Table5!E33))</f>
        <v>NA</v>
      </c>
      <c r="F78" s="243" t="str">
        <f>IF(OR(F33="NA",Table4!F33="NA",Table5!F33="NA"),"NA",-SUM(F33)+SUM(Table4!F33)+SUM(Table5!F33))</f>
        <v>NA</v>
      </c>
      <c r="G78" s="243" t="str">
        <f>IF(OR(G33="NA",Table4!G33="NA",Table5!G33="NA"),"NA",-SUM(G33)+SUM(Table4!G33)+SUM(Table5!G33))</f>
        <v>NA</v>
      </c>
      <c r="H78" s="243" t="str">
        <f>IF(OR(H33="NA",Table4!H33="NA",Table5!H33="NA"),"NA",-SUM(H33)+SUM(Table4!H33)+SUM(Table5!H33))</f>
        <v>NA</v>
      </c>
      <c r="I78" s="243" t="str">
        <f>IF(OR(I33="NA",Table4!I33="NA",Table5!I33="NA"),"NA",-SUM(I33)+SUM(Table4!I33)+SUM(Table5!I33))</f>
        <v>NA</v>
      </c>
      <c r="J78" s="243" t="str">
        <f>IF(OR(J33="NA",Table4!J33="NA",Table5!J33="NA"),"NA",-SUM(J33)+SUM(Table4!J33)+SUM(Table5!J33))</f>
        <v>NA</v>
      </c>
      <c r="K78" s="243" t="str">
        <f>IF(OR(K33="NA",Table4!K33="NA",Table5!K33="NA"),"NA",-SUM(K33)+SUM(Table4!K33)+SUM(Table5!K33))</f>
        <v>NA</v>
      </c>
      <c r="L78" s="243" t="str">
        <f>IF(OR(L33="NA",Table4!L33="NA",Table5!L33="NA"),"NA",-SUM(L33)+SUM(Table4!L33)+SUM(Table5!L33))</f>
        <v>NA</v>
      </c>
      <c r="M78" s="243" t="str">
        <f>IF(OR(M33="NA",Table4!M33="NA",Table5!M33="NA"),"NA",-SUM(M33)+SUM(Table4!M33)+SUM(Table5!M33))</f>
        <v>NA</v>
      </c>
      <c r="N78" s="243" t="str">
        <f>IF(OR(N33="NA",Table4!N33="NA",Table5!N33="NA"),"NA",-SUM(N33)+SUM(Table4!N33)+SUM(Table5!N33))</f>
        <v>NA</v>
      </c>
      <c r="O78" s="202"/>
      <c r="P78" s="202"/>
      <c r="Q78" s="202"/>
    </row>
    <row r="79" spans="2:17" ht="10.35" hidden="1" customHeight="1" x14ac:dyDescent="0.2">
      <c r="B79" s="274"/>
      <c r="C79" s="136" t="s">
        <v>956</v>
      </c>
      <c r="D79" s="76" t="s">
        <v>48</v>
      </c>
      <c r="E79" s="243" t="str">
        <f>IF(OR(E34="NA",Table4!E34="NA",Table5!E34="NA"),"NA",-SUM(E34)+SUM(Table4!E34)+SUM(Table5!E34))</f>
        <v>NA</v>
      </c>
      <c r="F79" s="243" t="str">
        <f>IF(OR(F34="NA",Table4!F34="NA",Table5!F34="NA"),"NA",-SUM(F34)+SUM(Table4!F34)+SUM(Table5!F34))</f>
        <v>NA</v>
      </c>
      <c r="G79" s="243" t="str">
        <f>IF(OR(G34="NA",Table4!G34="NA",Table5!G34="NA"),"NA",-SUM(G34)+SUM(Table4!G34)+SUM(Table5!G34))</f>
        <v>NA</v>
      </c>
      <c r="H79" s="243" t="str">
        <f>IF(OR(H34="NA",Table4!H34="NA",Table5!H34="NA"),"NA",-SUM(H34)+SUM(Table4!H34)+SUM(Table5!H34))</f>
        <v>NA</v>
      </c>
      <c r="I79" s="243" t="str">
        <f>IF(OR(I34="NA",Table4!I34="NA",Table5!I34="NA"),"NA",-SUM(I34)+SUM(Table4!I34)+SUM(Table5!I34))</f>
        <v>NA</v>
      </c>
      <c r="J79" s="243" t="str">
        <f>IF(OR(J34="NA",Table4!J34="NA",Table5!J34="NA"),"NA",-SUM(J34)+SUM(Table4!J34)+SUM(Table5!J34))</f>
        <v>NA</v>
      </c>
      <c r="K79" s="243" t="str">
        <f>IF(OR(K34="NA",Table4!K34="NA",Table5!K34="NA"),"NA",-SUM(K34)+SUM(Table4!K34)+SUM(Table5!K34))</f>
        <v>NA</v>
      </c>
      <c r="L79" s="243" t="str">
        <f>IF(OR(L34="NA",Table4!L34="NA",Table5!L34="NA"),"NA",-SUM(L34)+SUM(Table4!L34)+SUM(Table5!L34))</f>
        <v>NA</v>
      </c>
      <c r="M79" s="243" t="str">
        <f>IF(OR(M34="NA",Table4!M34="NA",Table5!M34="NA"),"NA",-SUM(M34)+SUM(Table4!M34)+SUM(Table5!M34))</f>
        <v>NA</v>
      </c>
      <c r="N79" s="243" t="str">
        <f>IF(OR(N34="NA",Table4!N34="NA",Table5!N34="NA"),"NA",-SUM(N34)+SUM(Table4!N34)+SUM(Table5!N34))</f>
        <v>NA</v>
      </c>
      <c r="O79" s="202"/>
      <c r="P79" s="202"/>
      <c r="Q79" s="202"/>
    </row>
    <row r="80" spans="2:17" ht="10.35" hidden="1" customHeight="1" x14ac:dyDescent="0.2">
      <c r="B80" s="274"/>
      <c r="C80" s="136" t="s">
        <v>957</v>
      </c>
      <c r="D80" s="76" t="s">
        <v>48</v>
      </c>
      <c r="E80" s="243" t="str">
        <f>IF(OR(E35="NA",Table4!E35="NA",Table5!E35="NA"),"NA",-SUM(E35)+SUM(Table4!E35)+SUM(Table5!E35))</f>
        <v>NA</v>
      </c>
      <c r="F80" s="243" t="str">
        <f>IF(OR(F35="NA",Table4!F35="NA",Table5!F35="NA"),"NA",-SUM(F35)+SUM(Table4!F35)+SUM(Table5!F35))</f>
        <v>NA</v>
      </c>
      <c r="G80" s="243" t="str">
        <f>IF(OR(G35="NA",Table4!G35="NA",Table5!G35="NA"),"NA",-SUM(G35)+SUM(Table4!G35)+SUM(Table5!G35))</f>
        <v>NA</v>
      </c>
      <c r="H80" s="243" t="str">
        <f>IF(OR(H35="NA",Table4!H35="NA",Table5!H35="NA"),"NA",-SUM(H35)+SUM(Table4!H35)+SUM(Table5!H35))</f>
        <v>NA</v>
      </c>
      <c r="I80" s="243" t="str">
        <f>IF(OR(I35="NA",Table4!I35="NA",Table5!I35="NA"),"NA",-SUM(I35)+SUM(Table4!I35)+SUM(Table5!I35))</f>
        <v>NA</v>
      </c>
      <c r="J80" s="243" t="str">
        <f>IF(OR(J35="NA",Table4!J35="NA",Table5!J35="NA"),"NA",-SUM(J35)+SUM(Table4!J35)+SUM(Table5!J35))</f>
        <v>NA</v>
      </c>
      <c r="K80" s="243" t="str">
        <f>IF(OR(K35="NA",Table4!K35="NA",Table5!K35="NA"),"NA",-SUM(K35)+SUM(Table4!K35)+SUM(Table5!K35))</f>
        <v>NA</v>
      </c>
      <c r="L80" s="243" t="str">
        <f>IF(OR(L35="NA",Table4!L35="NA",Table5!L35="NA"),"NA",-SUM(L35)+SUM(Table4!L35)+SUM(Table5!L35))</f>
        <v>NA</v>
      </c>
      <c r="M80" s="243" t="str">
        <f>IF(OR(M35="NA",Table4!M35="NA",Table5!M35="NA"),"NA",-SUM(M35)+SUM(Table4!M35)+SUM(Table5!M35))</f>
        <v>NA</v>
      </c>
      <c r="N80" s="243" t="str">
        <f>IF(OR(N35="NA",Table4!N35="NA",Table5!N35="NA"),"NA",-SUM(N35)+SUM(Table4!N35)+SUM(Table5!N35))</f>
        <v>NA</v>
      </c>
      <c r="O80" s="202"/>
      <c r="P80" s="202"/>
      <c r="Q80" s="202"/>
    </row>
    <row r="81" spans="2:17" ht="10.35" customHeight="1" x14ac:dyDescent="0.2">
      <c r="B81" s="274"/>
      <c r="C81" s="136" t="s">
        <v>958</v>
      </c>
      <c r="D81" s="76" t="s">
        <v>48</v>
      </c>
      <c r="E81" s="243">
        <f>IF(OR(E37="NA",Table4!E37="NA",Table5!E37="NA"),"NA",-SUM(E37)+SUM(Table4!E37)+SUM(Table5!E37))</f>
        <v>9.0949470177292824E-13</v>
      </c>
      <c r="F81" s="243">
        <f>IF(OR(F37="NA",Table4!F37="NA",Table5!F37="NA"),"NA",-SUM(F37)+SUM(Table4!F37)+SUM(Table5!F37))</f>
        <v>0</v>
      </c>
      <c r="G81" s="243">
        <f>IF(OR(G37="NA",Table4!G37="NA",Table5!G37="NA"),"NA",-SUM(G37)+SUM(Table4!G37)+SUM(Table5!G37))</f>
        <v>0</v>
      </c>
      <c r="H81" s="243">
        <f>IF(OR(H37="NA",Table4!H37="NA",Table5!H37="NA"),"NA",-SUM(H37)+SUM(Table4!H37)+SUM(Table5!H37))</f>
        <v>2.2737367544323206E-12</v>
      </c>
      <c r="I81" s="243">
        <f>IF(OR(I37="NA",Table4!I37="NA",Table5!I37="NA"),"NA",-SUM(I37)+SUM(Table4!I37)+SUM(Table5!I37))</f>
        <v>0</v>
      </c>
      <c r="J81" s="243">
        <f>IF(OR(J37="NA",Table4!J37="NA",Table5!J37="NA"),"NA",-SUM(J37)+SUM(Table4!J37)+SUM(Table5!J37))</f>
        <v>0</v>
      </c>
      <c r="K81" s="243">
        <f>IF(OR(K37="NA",Table4!K37="NA",Table5!K37="NA"),"NA",-SUM(K37)+SUM(Table4!K37)+SUM(Table5!K37))</f>
        <v>0</v>
      </c>
      <c r="L81" s="243">
        <f>IF(OR(L37="NA",Table4!L37="NA",Table5!L37="NA"),"NA",-SUM(L37)+SUM(Table4!L37)+SUM(Table5!L37))</f>
        <v>0</v>
      </c>
      <c r="M81" s="243">
        <f>IF(OR(M37="NA",Table4!M37="NA",Table5!M37="NA"),"NA",-SUM(M37)+SUM(Table4!M37)+SUM(Table5!M37))</f>
        <v>3.637978807091713E-12</v>
      </c>
      <c r="N81" s="243">
        <f>IF(OR(N37="NA",Table4!N37="NA",Table5!N37="NA"),"NA",-SUM(N37)+SUM(Table4!N37)+SUM(Table5!N37))</f>
        <v>2.7284841053187847E-12</v>
      </c>
      <c r="O81" s="202"/>
      <c r="P81" s="202"/>
      <c r="Q81" s="202"/>
    </row>
    <row r="82" spans="2:17" ht="10.35" hidden="1" customHeight="1" x14ac:dyDescent="0.2">
      <c r="B82" s="274"/>
      <c r="C82" s="136" t="s">
        <v>959</v>
      </c>
      <c r="D82" s="76" t="s">
        <v>48</v>
      </c>
      <c r="E82" s="243" t="str">
        <f>IF(OR(E38="NA",Table4!E38="NA",Table5!E38="NA"),"NA",-SUM(E38)+SUM(Table4!E38)+SUM(Table5!E38))</f>
        <v>NA</v>
      </c>
      <c r="F82" s="243" t="str">
        <f>IF(OR(F38="NA",Table4!F38="NA",Table5!F38="NA"),"NA",-SUM(F38)+SUM(Table4!F38)+SUM(Table5!F38))</f>
        <v>NA</v>
      </c>
      <c r="G82" s="243" t="str">
        <f>IF(OR(G38="NA",Table4!G38="NA",Table5!G38="NA"),"NA",-SUM(G38)+SUM(Table4!G38)+SUM(Table5!G38))</f>
        <v>NA</v>
      </c>
      <c r="H82" s="243" t="str">
        <f>IF(OR(H38="NA",Table4!H38="NA",Table5!H38="NA"),"NA",-SUM(H38)+SUM(Table4!H38)+SUM(Table5!H38))</f>
        <v>NA</v>
      </c>
      <c r="I82" s="243" t="str">
        <f>IF(OR(I38="NA",Table4!I38="NA",Table5!I38="NA"),"NA",-SUM(I38)+SUM(Table4!I38)+SUM(Table5!I38))</f>
        <v>NA</v>
      </c>
      <c r="J82" s="243" t="str">
        <f>IF(OR(J38="NA",Table4!J38="NA",Table5!J38="NA"),"NA",-SUM(J38)+SUM(Table4!J38)+SUM(Table5!J38))</f>
        <v>NA</v>
      </c>
      <c r="K82" s="243" t="str">
        <f>IF(OR(K38="NA",Table4!K38="NA",Table5!K38="NA"),"NA",-SUM(K38)+SUM(Table4!K38)+SUM(Table5!K38))</f>
        <v>NA</v>
      </c>
      <c r="L82" s="243" t="str">
        <f>IF(OR(L38="NA",Table4!L38="NA",Table5!L38="NA"),"NA",-SUM(L38)+SUM(Table4!L38)+SUM(Table5!L38))</f>
        <v>NA</v>
      </c>
      <c r="M82" s="243" t="str">
        <f>IF(OR(M38="NA",Table4!M38="NA",Table5!M38="NA"),"NA",-SUM(M38)+SUM(Table4!M38)+SUM(Table5!M38))</f>
        <v>NA</v>
      </c>
      <c r="N82" s="243" t="str">
        <f>IF(OR(N38="NA",Table4!N38="NA",Table5!N38="NA"),"NA",-SUM(N38)+SUM(Table4!N38)+SUM(Table5!N38))</f>
        <v>NA</v>
      </c>
      <c r="O82" s="202"/>
      <c r="P82" s="202"/>
      <c r="Q82" s="202"/>
    </row>
    <row r="83" spans="2:17" ht="10.35" hidden="1" customHeight="1" x14ac:dyDescent="0.2">
      <c r="B83" s="274"/>
      <c r="C83" s="138" t="s">
        <v>964</v>
      </c>
      <c r="D83" s="76"/>
      <c r="E83" s="243" t="str">
        <f>IF(OR(E39="NA",Table4!E39="NA",Table5!E39="NA"),"NA",-SUM(E39)+SUM(Table4!E39)+SUM(Table5!E39))</f>
        <v>NA</v>
      </c>
      <c r="F83" s="243" t="str">
        <f>IF(OR(F39="NA",Table4!F39="NA",Table5!F39="NA"),"NA",-SUM(F39)+SUM(Table4!F39)+SUM(Table5!F39))</f>
        <v>NA</v>
      </c>
      <c r="G83" s="243" t="str">
        <f>IF(OR(G39="NA",Table4!G39="NA",Table5!G39="NA"),"NA",-SUM(G39)+SUM(Table4!G39)+SUM(Table5!G39))</f>
        <v>NA</v>
      </c>
      <c r="H83" s="243" t="str">
        <f>IF(OR(H39="NA",Table4!H39="NA",Table5!H39="NA"),"NA",-SUM(H39)+SUM(Table4!H39)+SUM(Table5!H39))</f>
        <v>NA</v>
      </c>
      <c r="I83" s="243" t="str">
        <f>IF(OR(I39="NA",Table4!I39="NA",Table5!I39="NA"),"NA",-SUM(I39)+SUM(Table4!I39)+SUM(Table5!I39))</f>
        <v>NA</v>
      </c>
      <c r="J83" s="243" t="str">
        <f>IF(OR(J39="NA",Table4!J39="NA",Table5!J39="NA"),"NA",-SUM(J39)+SUM(Table4!J39)+SUM(Table5!J39))</f>
        <v>NA</v>
      </c>
      <c r="K83" s="243" t="str">
        <f>IF(OR(K39="NA",Table4!K39="NA",Table5!K39="NA"),"NA",-SUM(K39)+SUM(Table4!K39)+SUM(Table5!K39))</f>
        <v>NA</v>
      </c>
      <c r="L83" s="243" t="str">
        <f>IF(OR(L39="NA",Table4!L39="NA",Table5!L39="NA"),"NA",-SUM(L39)+SUM(Table4!L39)+SUM(Table5!L39))</f>
        <v>NA</v>
      </c>
      <c r="M83" s="243" t="str">
        <f>IF(OR(M39="NA",Table4!M39="NA",Table5!M39="NA"),"NA",-SUM(M39)+SUM(Table4!M39)+SUM(Table5!M39))</f>
        <v>NA</v>
      </c>
      <c r="N83" s="243" t="str">
        <f>IF(OR(N39="NA",Table4!N39="NA",Table5!N39="NA"),"NA",-SUM(N39)+SUM(Table4!N39)+SUM(Table5!N39))</f>
        <v>NA</v>
      </c>
      <c r="O83" s="202"/>
      <c r="P83" s="202"/>
      <c r="Q83" s="202"/>
    </row>
    <row r="84" spans="2:17" ht="10.35" hidden="1" customHeight="1" x14ac:dyDescent="0.2">
      <c r="B84" s="274"/>
      <c r="C84" s="138" t="s">
        <v>965</v>
      </c>
      <c r="D84" s="76"/>
      <c r="E84" s="243" t="str">
        <f>IF(OR(E40="NA",Table4!E40="NA",Table5!E40="NA"),"NA",-SUM(E40)+SUM(Table4!E40)+SUM(Table5!E40))</f>
        <v>NA</v>
      </c>
      <c r="F84" s="243" t="str">
        <f>IF(OR(F40="NA",Table4!F40="NA",Table5!F40="NA"),"NA",-SUM(F40)+SUM(Table4!F40)+SUM(Table5!F40))</f>
        <v>NA</v>
      </c>
      <c r="G84" s="243" t="str">
        <f>IF(OR(G40="NA",Table4!G40="NA",Table5!G40="NA"),"NA",-SUM(G40)+SUM(Table4!G40)+SUM(Table5!G40))</f>
        <v>NA</v>
      </c>
      <c r="H84" s="243" t="str">
        <f>IF(OR(H40="NA",Table4!H40="NA",Table5!H40="NA"),"NA",-SUM(H40)+SUM(Table4!H40)+SUM(Table5!H40))</f>
        <v>NA</v>
      </c>
      <c r="I84" s="243" t="str">
        <f>IF(OR(I40="NA",Table4!I40="NA",Table5!I40="NA"),"NA",-SUM(I40)+SUM(Table4!I40)+SUM(Table5!I40))</f>
        <v>NA</v>
      </c>
      <c r="J84" s="243" t="str">
        <f>IF(OR(J40="NA",Table4!J40="NA",Table5!J40="NA"),"NA",-SUM(J40)+SUM(Table4!J40)+SUM(Table5!J40))</f>
        <v>NA</v>
      </c>
      <c r="K84" s="243" t="str">
        <f>IF(OR(K40="NA",Table4!K40="NA",Table5!K40="NA"),"NA",-SUM(K40)+SUM(Table4!K40)+SUM(Table5!K40))</f>
        <v>NA</v>
      </c>
      <c r="L84" s="243" t="str">
        <f>IF(OR(L40="NA",Table4!L40="NA",Table5!L40="NA"),"NA",-SUM(L40)+SUM(Table4!L40)+SUM(Table5!L40))</f>
        <v>NA</v>
      </c>
      <c r="M84" s="243" t="str">
        <f>IF(OR(M40="NA",Table4!M40="NA",Table5!M40="NA"),"NA",-SUM(M40)+SUM(Table4!M40)+SUM(Table5!M40))</f>
        <v>NA</v>
      </c>
      <c r="N84" s="243" t="str">
        <f>IF(OR(N40="NA",Table4!N40="NA",Table5!N40="NA"),"NA",-SUM(N40)+SUM(Table4!N40)+SUM(Table5!N40))</f>
        <v>NA</v>
      </c>
      <c r="O84" s="202"/>
      <c r="P84" s="202"/>
      <c r="Q84" s="202"/>
    </row>
    <row r="85" spans="2:17" ht="10.35" hidden="1" customHeight="1" x14ac:dyDescent="0.2">
      <c r="B85" s="274"/>
      <c r="C85" s="138" t="s">
        <v>966</v>
      </c>
      <c r="D85" s="76"/>
      <c r="E85" s="243" t="str">
        <f>IF(OR(E41="NA",Table4!E41="NA",Table5!E41="NA"),"NA",-SUM(E41)+SUM(Table4!E41)+SUM(Table5!E41))</f>
        <v>NA</v>
      </c>
      <c r="F85" s="243" t="str">
        <f>IF(OR(F41="NA",Table4!F41="NA",Table5!F41="NA"),"NA",-SUM(F41)+SUM(Table4!F41)+SUM(Table5!F41))</f>
        <v>NA</v>
      </c>
      <c r="G85" s="243" t="str">
        <f>IF(OR(G41="NA",Table4!G41="NA",Table5!G41="NA"),"NA",-SUM(G41)+SUM(Table4!G41)+SUM(Table5!G41))</f>
        <v>NA</v>
      </c>
      <c r="H85" s="243" t="str">
        <f>IF(OR(H41="NA",Table4!H41="NA",Table5!H41="NA"),"NA",-SUM(H41)+SUM(Table4!H41)+SUM(Table5!H41))</f>
        <v>NA</v>
      </c>
      <c r="I85" s="243" t="str">
        <f>IF(OR(I41="NA",Table4!I41="NA",Table5!I41="NA"),"NA",-SUM(I41)+SUM(Table4!I41)+SUM(Table5!I41))</f>
        <v>NA</v>
      </c>
      <c r="J85" s="243" t="str">
        <f>IF(OR(J41="NA",Table4!J41="NA",Table5!J41="NA"),"NA",-SUM(J41)+SUM(Table4!J41)+SUM(Table5!J41))</f>
        <v>NA</v>
      </c>
      <c r="K85" s="243" t="str">
        <f>IF(OR(K41="NA",Table4!K41="NA",Table5!K41="NA"),"NA",-SUM(K41)+SUM(Table4!K41)+SUM(Table5!K41))</f>
        <v>NA</v>
      </c>
      <c r="L85" s="243" t="str">
        <f>IF(OR(L41="NA",Table4!L41="NA",Table5!L41="NA"),"NA",-SUM(L41)+SUM(Table4!L41)+SUM(Table5!L41))</f>
        <v>NA</v>
      </c>
      <c r="M85" s="243" t="str">
        <f>IF(OR(M41="NA",Table4!M41="NA",Table5!M41="NA"),"NA",-SUM(M41)+SUM(Table4!M41)+SUM(Table5!M41))</f>
        <v>NA</v>
      </c>
      <c r="N85" s="243" t="str">
        <f>IF(OR(N41="NA",Table4!N41="NA",Table5!N41="NA"),"NA",-SUM(N41)+SUM(Table4!N41)+SUM(Table5!N41))</f>
        <v>NA</v>
      </c>
      <c r="O85" s="202"/>
      <c r="P85" s="202"/>
      <c r="Q85" s="202"/>
    </row>
    <row r="86" spans="2:17" ht="10.35" hidden="1" customHeight="1" x14ac:dyDescent="0.2">
      <c r="B86" s="274"/>
      <c r="C86" s="136" t="s">
        <v>967</v>
      </c>
      <c r="D86" s="76"/>
      <c r="E86" s="243" t="str">
        <f t="shared" ref="E86:N86" si="11">IF(OR(E38="NA",E26="NA",E27="NA",E28="NA",E29="NA",E31="NA",E33="NA"),"NA",-SUM(E38)+SUM(E26)+SUM(E27)+SUM(E28)+SUM(E29)+SUM(E31)+SUM(E33))</f>
        <v>NA</v>
      </c>
      <c r="F86" s="243" t="str">
        <f t="shared" si="11"/>
        <v>NA</v>
      </c>
      <c r="G86" s="243" t="str">
        <f t="shared" si="11"/>
        <v>NA</v>
      </c>
      <c r="H86" s="243" t="str">
        <f t="shared" si="11"/>
        <v>NA</v>
      </c>
      <c r="I86" s="243" t="str">
        <f t="shared" si="11"/>
        <v>NA</v>
      </c>
      <c r="J86" s="243" t="str">
        <f t="shared" si="11"/>
        <v>NA</v>
      </c>
      <c r="K86" s="243" t="str">
        <f t="shared" si="11"/>
        <v>NA</v>
      </c>
      <c r="L86" s="243" t="str">
        <f t="shared" si="11"/>
        <v>NA</v>
      </c>
      <c r="M86" s="243" t="str">
        <f t="shared" si="11"/>
        <v>NA</v>
      </c>
      <c r="N86" s="243" t="str">
        <f t="shared" si="11"/>
        <v>NA</v>
      </c>
      <c r="O86" s="202"/>
      <c r="P86" s="202"/>
      <c r="Q86" s="202"/>
    </row>
    <row r="87" spans="2:17" ht="10.35" hidden="1" customHeight="1" x14ac:dyDescent="0.2">
      <c r="B87" s="274"/>
      <c r="C87" s="136" t="s">
        <v>968</v>
      </c>
      <c r="D87" s="76"/>
      <c r="E87" s="243" t="str">
        <f t="shared" ref="E87:N87" si="12">IF(OR(E39="NA",E26="NA",E27="NA",E28="NA",E29="NA",E33="NA"),"NA",-SUM(E39)+SUM(E26)+SUM(E27)+SUM(E28)+SUM(E29)+SUM(E33))</f>
        <v>NA</v>
      </c>
      <c r="F87" s="243" t="str">
        <f t="shared" si="12"/>
        <v>NA</v>
      </c>
      <c r="G87" s="243" t="str">
        <f t="shared" si="12"/>
        <v>NA</v>
      </c>
      <c r="H87" s="243" t="str">
        <f t="shared" si="12"/>
        <v>NA</v>
      </c>
      <c r="I87" s="243" t="str">
        <f t="shared" si="12"/>
        <v>NA</v>
      </c>
      <c r="J87" s="243" t="str">
        <f t="shared" si="12"/>
        <v>NA</v>
      </c>
      <c r="K87" s="243" t="str">
        <f t="shared" si="12"/>
        <v>NA</v>
      </c>
      <c r="L87" s="243" t="str">
        <f t="shared" si="12"/>
        <v>NA</v>
      </c>
      <c r="M87" s="243" t="str">
        <f t="shared" si="12"/>
        <v>NA</v>
      </c>
      <c r="N87" s="243" t="str">
        <f t="shared" si="12"/>
        <v>NA</v>
      </c>
      <c r="O87" s="202"/>
      <c r="P87" s="202"/>
      <c r="Q87" s="202"/>
    </row>
    <row r="88" spans="2:17" ht="10.35" hidden="1" customHeight="1" x14ac:dyDescent="0.2">
      <c r="B88" s="274"/>
      <c r="C88" s="136" t="s">
        <v>969</v>
      </c>
      <c r="D88" s="76"/>
      <c r="E88" s="243" t="str">
        <f t="shared" ref="E88:N88" si="13">IF(OR(E40="NA",E26="NA",E27="NA",E28="NA",E29="NA"),"NA",-SUM(E40)+SUM(E26)+SUM(E27)+SUM(E28)+SUM(E29))</f>
        <v>NA</v>
      </c>
      <c r="F88" s="243" t="str">
        <f t="shared" si="13"/>
        <v>NA</v>
      </c>
      <c r="G88" s="243" t="str">
        <f t="shared" si="13"/>
        <v>NA</v>
      </c>
      <c r="H88" s="243" t="str">
        <f t="shared" si="13"/>
        <v>NA</v>
      </c>
      <c r="I88" s="243" t="str">
        <f t="shared" si="13"/>
        <v>NA</v>
      </c>
      <c r="J88" s="243" t="str">
        <f t="shared" si="13"/>
        <v>NA</v>
      </c>
      <c r="K88" s="243" t="str">
        <f t="shared" si="13"/>
        <v>NA</v>
      </c>
      <c r="L88" s="243" t="str">
        <f t="shared" si="13"/>
        <v>NA</v>
      </c>
      <c r="M88" s="243" t="str">
        <f t="shared" si="13"/>
        <v>NA</v>
      </c>
      <c r="N88" s="243" t="str">
        <f t="shared" si="13"/>
        <v>NA</v>
      </c>
      <c r="O88" s="202"/>
      <c r="P88" s="202"/>
      <c r="Q88" s="202"/>
    </row>
    <row r="89" spans="2:17" ht="10.35" hidden="1" customHeight="1" x14ac:dyDescent="0.2">
      <c r="B89" s="211"/>
      <c r="C89" s="208" t="s">
        <v>970</v>
      </c>
      <c r="D89" s="140"/>
      <c r="E89" s="244" t="str">
        <f t="shared" ref="E89:N89" si="14">IF(OR(E41="NA",E28="NA",E29="NA"),"NA",-SUM(E41)+SUM(E28)+SUM(E29))</f>
        <v>NA</v>
      </c>
      <c r="F89" s="244" t="str">
        <f t="shared" si="14"/>
        <v>NA</v>
      </c>
      <c r="G89" s="244" t="str">
        <f t="shared" si="14"/>
        <v>NA</v>
      </c>
      <c r="H89" s="244" t="str">
        <f t="shared" si="14"/>
        <v>NA</v>
      </c>
      <c r="I89" s="244" t="str">
        <f t="shared" si="14"/>
        <v>NA</v>
      </c>
      <c r="J89" s="244" t="str">
        <f t="shared" si="14"/>
        <v>NA</v>
      </c>
      <c r="K89" s="244" t="str">
        <f t="shared" si="14"/>
        <v>NA</v>
      </c>
      <c r="L89" s="244" t="str">
        <f t="shared" si="14"/>
        <v>NA</v>
      </c>
      <c r="M89" s="244" t="str">
        <f t="shared" si="14"/>
        <v>NA</v>
      </c>
      <c r="N89" s="244" t="str">
        <f t="shared" si="14"/>
        <v>NA</v>
      </c>
      <c r="O89" s="202"/>
      <c r="P89" s="202"/>
      <c r="Q89" s="202"/>
    </row>
    <row r="90" spans="2:17" s="103" customFormat="1" ht="10.9" customHeight="1" x14ac:dyDescent="0.15">
      <c r="B90" s="200" t="s">
        <v>2777</v>
      </c>
      <c r="E90" s="212"/>
      <c r="F90" s="212"/>
      <c r="G90" s="212"/>
      <c r="H90" s="212"/>
      <c r="I90" s="212"/>
      <c r="J90" s="212"/>
      <c r="K90" s="212"/>
      <c r="L90" s="212"/>
      <c r="M90" s="212"/>
      <c r="N90" s="212"/>
      <c r="O90" s="191"/>
      <c r="P90" s="191"/>
      <c r="Q90" s="191"/>
    </row>
    <row r="91" spans="2:17" s="103" customFormat="1" ht="10.9" customHeight="1" x14ac:dyDescent="0.15">
      <c r="B91" s="200"/>
      <c r="C91" s="213" t="s">
        <v>2778</v>
      </c>
      <c r="E91" s="212"/>
      <c r="F91" s="212"/>
      <c r="G91" s="212"/>
      <c r="H91" s="212"/>
      <c r="I91" s="212"/>
      <c r="J91" s="212"/>
      <c r="K91" s="212"/>
      <c r="L91" s="212"/>
      <c r="M91" s="212"/>
      <c r="N91" s="212"/>
      <c r="O91" s="191"/>
      <c r="P91" s="191"/>
      <c r="Q91" s="191"/>
    </row>
    <row r="92" spans="2:17" s="103" customFormat="1" ht="10.9" customHeight="1" x14ac:dyDescent="0.15">
      <c r="B92" s="190"/>
      <c r="C92" s="214" t="s">
        <v>3456</v>
      </c>
      <c r="E92" s="215"/>
      <c r="F92" s="215"/>
      <c r="G92" s="203" t="str">
        <f>IF(OR(G9="NA"),"NA",IF(ROUND(SUM(G9),1)=0,"si","verificar!"))</f>
        <v>si</v>
      </c>
      <c r="H92" s="741"/>
      <c r="I92" s="741"/>
      <c r="J92" s="741"/>
      <c r="K92" s="741"/>
      <c r="L92" s="203" t="str">
        <f>IF(OR(L9="NA"),"NA",IF(ROUND(SUM(L9),1)=0,"si","verificar!"))</f>
        <v>si</v>
      </c>
      <c r="M92" s="215"/>
      <c r="N92" s="215"/>
      <c r="O92" s="191"/>
      <c r="P92" s="191"/>
      <c r="Q92" s="191"/>
    </row>
    <row r="93" spans="2:17" s="103" customFormat="1" ht="10.9" customHeight="1" x14ac:dyDescent="0.15">
      <c r="B93" s="190"/>
      <c r="C93" s="214" t="s">
        <v>3457</v>
      </c>
      <c r="E93" s="215"/>
      <c r="F93" s="215"/>
      <c r="G93" s="203" t="str">
        <f>IF(OR(G14="NA",G25="NA"),"NA",IF(ROUND(SUM(G14)-SUM(G25),1)=0,"si","verificar!"))</f>
        <v>si</v>
      </c>
      <c r="H93" s="741"/>
      <c r="I93" s="741"/>
      <c r="J93" s="741"/>
      <c r="K93" s="741"/>
      <c r="L93" s="203" t="str">
        <f>IF(OR(L14="NA",L25="NA"),"NA",IF(ROUND(SUM(L14)-SUM(L25),1)=0,"si","verificar!"))</f>
        <v>si</v>
      </c>
      <c r="M93" s="215"/>
      <c r="N93" s="215"/>
      <c r="O93" s="191"/>
      <c r="P93" s="191"/>
      <c r="Q93" s="191"/>
    </row>
    <row r="94" spans="2:17" s="103" customFormat="1" ht="10.9" hidden="1" customHeight="1" x14ac:dyDescent="0.15">
      <c r="B94" s="200"/>
      <c r="C94" s="213" t="s">
        <v>2631</v>
      </c>
      <c r="E94" s="212"/>
      <c r="F94" s="212"/>
      <c r="G94" s="216"/>
      <c r="H94" s="212"/>
      <c r="I94" s="212"/>
      <c r="J94" s="212"/>
      <c r="K94" s="212"/>
      <c r="L94" s="216"/>
      <c r="M94" s="212"/>
      <c r="N94" s="212"/>
      <c r="O94" s="191"/>
      <c r="P94" s="191"/>
      <c r="Q94" s="191"/>
    </row>
    <row r="95" spans="2:17" s="103" customFormat="1" ht="10.9" hidden="1" customHeight="1" x14ac:dyDescent="0.15">
      <c r="B95" s="190"/>
      <c r="C95" s="214" t="s">
        <v>3458</v>
      </c>
      <c r="E95" s="215"/>
      <c r="F95" s="215"/>
      <c r="G95" s="203" t="str">
        <f t="array" ref="G95">IF(OR(G9:G13="NA"),"NA",IF(AND(ROUND(G9:G13,1)=0),"yes","check!"))</f>
        <v>NA</v>
      </c>
      <c r="H95" s="215"/>
      <c r="I95" s="215"/>
      <c r="J95" s="215"/>
      <c r="K95" s="215"/>
      <c r="L95" s="203" t="str">
        <f t="array" ref="L95">IF(OR(L9:L13="NA"),"NA",IF(AND(ROUND(L9:L13,1)=0),"yes","check!"))</f>
        <v>NA</v>
      </c>
      <c r="M95" s="215"/>
      <c r="N95" s="215"/>
      <c r="O95" s="191"/>
      <c r="P95" s="191"/>
      <c r="Q95" s="191"/>
    </row>
    <row r="96" spans="2:17" s="103" customFormat="1" ht="10.9" hidden="1" customHeight="1" x14ac:dyDescent="0.15">
      <c r="B96" s="190"/>
      <c r="C96" s="214" t="s">
        <v>3459</v>
      </c>
      <c r="E96" s="215"/>
      <c r="F96" s="215"/>
      <c r="G96" s="203" t="str">
        <f>IF(OR(G24="NA"),"NA",IF(ROUND(G24,1)=0,"yes","check!"))</f>
        <v>NA</v>
      </c>
      <c r="H96" s="215"/>
      <c r="I96" s="215"/>
      <c r="J96" s="215"/>
      <c r="K96" s="215"/>
      <c r="L96" s="203" t="str">
        <f>IF(OR(L24="NA"),"NA",IF(ROUND(L24,1)=0,"yes","check!"))</f>
        <v>NA</v>
      </c>
      <c r="M96" s="215"/>
      <c r="N96" s="215"/>
      <c r="O96" s="191"/>
      <c r="P96" s="191"/>
      <c r="Q96" s="191"/>
    </row>
    <row r="97" spans="2:17" s="103" customFormat="1" ht="10.9" hidden="1" customHeight="1" x14ac:dyDescent="0.15">
      <c r="B97" s="190"/>
      <c r="C97" s="214" t="s">
        <v>3460</v>
      </c>
      <c r="E97" s="215"/>
      <c r="F97" s="215"/>
      <c r="G97" s="203" t="str">
        <f>IF(OR(G35="NA"),"NA",IF(ROUND(G35,1)=0,"yes","check!"))</f>
        <v>NA</v>
      </c>
      <c r="H97" s="215"/>
      <c r="I97" s="215"/>
      <c r="J97" s="215"/>
      <c r="K97" s="215"/>
      <c r="L97" s="203" t="str">
        <f>IF(OR(L35="NA"),"NA",IF(ROUND(L35,1)=0,"yes","check!"))</f>
        <v>NA</v>
      </c>
      <c r="M97" s="215"/>
      <c r="N97" s="215"/>
      <c r="O97" s="191"/>
      <c r="P97" s="191"/>
      <c r="Q97" s="191"/>
    </row>
    <row r="98" spans="2:17" s="103" customFormat="1" ht="10.9" hidden="1" customHeight="1" x14ac:dyDescent="0.15">
      <c r="B98" s="200"/>
      <c r="C98" s="213" t="s">
        <v>2661</v>
      </c>
      <c r="E98" s="212"/>
      <c r="F98" s="212"/>
      <c r="G98" s="216"/>
      <c r="H98" s="212"/>
      <c r="I98" s="212"/>
      <c r="J98" s="212"/>
      <c r="K98" s="212"/>
      <c r="L98" s="216"/>
      <c r="M98" s="212"/>
      <c r="N98" s="212"/>
      <c r="O98" s="191"/>
      <c r="P98" s="191"/>
      <c r="Q98" s="191"/>
    </row>
    <row r="99" spans="2:17" s="103" customFormat="1" ht="10.9" hidden="1" customHeight="1" x14ac:dyDescent="0.15">
      <c r="B99" s="190"/>
      <c r="C99" s="214" t="s">
        <v>3461</v>
      </c>
      <c r="E99" s="215"/>
      <c r="F99" s="215"/>
      <c r="G99" s="203" t="str">
        <f t="shared" ref="G99:G106" si="15">IF(OR(G15="NA",G26="NA"),"NA",IF(ROUND(G15,1)=ROUND(G26,1),"yes","check!"))</f>
        <v>NA</v>
      </c>
      <c r="H99" s="215"/>
      <c r="I99" s="215"/>
      <c r="J99" s="215"/>
      <c r="K99" s="215"/>
      <c r="L99" s="203" t="str">
        <f t="shared" ref="L99:L106" si="16">IF(OR(L15="NA",L26="NA"),"NA",IF(ROUND(L15,1)=ROUND(L26,1),"yes","check!"))</f>
        <v>NA</v>
      </c>
      <c r="M99" s="215"/>
      <c r="N99" s="215"/>
      <c r="O99" s="191"/>
      <c r="P99" s="191"/>
      <c r="Q99" s="191"/>
    </row>
    <row r="100" spans="2:17" s="103" customFormat="1" ht="10.9" hidden="1" customHeight="1" x14ac:dyDescent="0.15">
      <c r="B100" s="190"/>
      <c r="C100" s="214" t="s">
        <v>3462</v>
      </c>
      <c r="E100" s="215"/>
      <c r="F100" s="215"/>
      <c r="G100" s="203" t="str">
        <f t="shared" si="15"/>
        <v>NA</v>
      </c>
      <c r="H100" s="215"/>
      <c r="I100" s="215"/>
      <c r="J100" s="215"/>
      <c r="K100" s="215"/>
      <c r="L100" s="203" t="str">
        <f t="shared" si="16"/>
        <v>NA</v>
      </c>
      <c r="M100" s="215"/>
      <c r="N100" s="215"/>
      <c r="O100" s="191"/>
      <c r="P100" s="191"/>
      <c r="Q100" s="191"/>
    </row>
    <row r="101" spans="2:17" s="103" customFormat="1" ht="10.9" hidden="1" customHeight="1" x14ac:dyDescent="0.15">
      <c r="B101" s="190"/>
      <c r="C101" s="214" t="s">
        <v>3463</v>
      </c>
      <c r="E101" s="215"/>
      <c r="F101" s="215"/>
      <c r="G101" s="203" t="str">
        <f t="shared" si="15"/>
        <v>NA</v>
      </c>
      <c r="H101" s="215"/>
      <c r="I101" s="215"/>
      <c r="J101" s="215"/>
      <c r="K101" s="215"/>
      <c r="L101" s="203" t="str">
        <f t="shared" si="16"/>
        <v>NA</v>
      </c>
      <c r="M101" s="215"/>
      <c r="N101" s="215"/>
      <c r="O101" s="191"/>
      <c r="P101" s="191"/>
      <c r="Q101" s="191"/>
    </row>
    <row r="102" spans="2:17" s="103" customFormat="1" ht="10.9" hidden="1" customHeight="1" x14ac:dyDescent="0.15">
      <c r="B102" s="190"/>
      <c r="C102" s="214" t="s">
        <v>3464</v>
      </c>
      <c r="E102" s="215"/>
      <c r="F102" s="215"/>
      <c r="G102" s="203" t="str">
        <f t="shared" si="15"/>
        <v>NA</v>
      </c>
      <c r="H102" s="215"/>
      <c r="I102" s="215"/>
      <c r="J102" s="215"/>
      <c r="K102" s="215"/>
      <c r="L102" s="203" t="str">
        <f t="shared" si="16"/>
        <v>NA</v>
      </c>
      <c r="M102" s="215"/>
      <c r="N102" s="215"/>
      <c r="O102" s="191"/>
      <c r="P102" s="191"/>
      <c r="Q102" s="191"/>
    </row>
    <row r="103" spans="2:17" s="103" customFormat="1" ht="10.9" hidden="1" customHeight="1" x14ac:dyDescent="0.15">
      <c r="B103" s="190"/>
      <c r="C103" s="214" t="s">
        <v>3465</v>
      </c>
      <c r="E103" s="215"/>
      <c r="F103" s="215"/>
      <c r="G103" s="203" t="str">
        <f t="shared" si="15"/>
        <v>NA</v>
      </c>
      <c r="H103" s="215"/>
      <c r="I103" s="215"/>
      <c r="J103" s="215"/>
      <c r="K103" s="215"/>
      <c r="L103" s="203" t="str">
        <f t="shared" si="16"/>
        <v>NA</v>
      </c>
      <c r="M103" s="215"/>
      <c r="N103" s="215"/>
      <c r="O103" s="191"/>
      <c r="P103" s="191"/>
      <c r="Q103" s="191"/>
    </row>
    <row r="104" spans="2:17" s="103" customFormat="1" ht="10.9" hidden="1" customHeight="1" x14ac:dyDescent="0.15">
      <c r="B104" s="190"/>
      <c r="C104" s="214" t="s">
        <v>3466</v>
      </c>
      <c r="E104" s="215"/>
      <c r="F104" s="215"/>
      <c r="G104" s="203" t="str">
        <f t="shared" si="15"/>
        <v>NA</v>
      </c>
      <c r="H104" s="215"/>
      <c r="I104" s="215"/>
      <c r="J104" s="215"/>
      <c r="K104" s="215"/>
      <c r="L104" s="203" t="str">
        <f t="shared" si="16"/>
        <v>NA</v>
      </c>
      <c r="M104" s="215"/>
      <c r="N104" s="215"/>
      <c r="O104" s="191"/>
      <c r="P104" s="191"/>
      <c r="Q104" s="191"/>
    </row>
    <row r="105" spans="2:17" s="103" customFormat="1" ht="10.9" hidden="1" customHeight="1" x14ac:dyDescent="0.15">
      <c r="B105" s="190"/>
      <c r="C105" s="214" t="s">
        <v>3467</v>
      </c>
      <c r="E105" s="215"/>
      <c r="F105" s="215"/>
      <c r="G105" s="203" t="str">
        <f t="shared" si="15"/>
        <v>NA</v>
      </c>
      <c r="H105" s="215"/>
      <c r="I105" s="215"/>
      <c r="J105" s="215"/>
      <c r="K105" s="215"/>
      <c r="L105" s="203" t="str">
        <f t="shared" si="16"/>
        <v>NA</v>
      </c>
      <c r="M105" s="215"/>
      <c r="N105" s="215"/>
      <c r="O105" s="191"/>
      <c r="P105" s="191"/>
      <c r="Q105" s="191"/>
    </row>
    <row r="106" spans="2:17" s="103" customFormat="1" ht="10.9" hidden="1" customHeight="1" x14ac:dyDescent="0.15">
      <c r="B106" s="190"/>
      <c r="C106" s="214" t="s">
        <v>3468</v>
      </c>
      <c r="E106" s="215"/>
      <c r="F106" s="215"/>
      <c r="G106" s="203" t="str">
        <f t="shared" si="15"/>
        <v>NA</v>
      </c>
      <c r="H106" s="215"/>
      <c r="I106" s="215"/>
      <c r="J106" s="215"/>
      <c r="K106" s="215"/>
      <c r="L106" s="203" t="str">
        <f t="shared" si="16"/>
        <v>NA</v>
      </c>
      <c r="M106" s="215"/>
      <c r="N106" s="215"/>
      <c r="O106" s="191"/>
      <c r="P106" s="191"/>
      <c r="Q106" s="191"/>
    </row>
    <row r="107" spans="2:17" ht="10.35" customHeight="1" x14ac:dyDescent="0.2">
      <c r="B107" s="276"/>
      <c r="C107" s="94"/>
      <c r="D107" s="77" t="s">
        <v>48</v>
      </c>
      <c r="E107" s="277"/>
      <c r="F107" s="277"/>
      <c r="G107" s="277"/>
      <c r="H107" s="277"/>
      <c r="I107" s="277"/>
      <c r="J107" s="277"/>
      <c r="K107" s="277"/>
      <c r="L107" s="277"/>
      <c r="M107" s="277"/>
      <c r="N107" s="277"/>
      <c r="O107" s="202"/>
      <c r="P107" s="202"/>
      <c r="Q107" s="202"/>
    </row>
    <row r="108" spans="2:17" ht="10.35" customHeight="1" x14ac:dyDescent="0.2">
      <c r="B108" s="210"/>
      <c r="C108" s="207"/>
      <c r="D108" s="103"/>
      <c r="E108" s="103"/>
      <c r="F108" s="103"/>
      <c r="G108" s="103"/>
      <c r="H108" s="103"/>
      <c r="I108" s="103"/>
      <c r="J108" s="103"/>
      <c r="K108" s="103"/>
      <c r="L108" s="103"/>
      <c r="M108" s="103"/>
      <c r="N108" s="103"/>
    </row>
    <row r="109" spans="2:17" ht="10.35" customHeight="1" x14ac:dyDescent="0.2">
      <c r="B109" s="210"/>
      <c r="C109" s="207"/>
      <c r="D109" s="103"/>
      <c r="E109" s="103"/>
      <c r="F109" s="103"/>
      <c r="G109" s="103"/>
      <c r="H109" s="103"/>
      <c r="I109" s="103"/>
      <c r="J109" s="103"/>
      <c r="K109" s="103"/>
      <c r="L109" s="103"/>
      <c r="M109" s="103"/>
      <c r="N109" s="103"/>
    </row>
    <row r="110" spans="2:17" ht="10.35" customHeight="1" x14ac:dyDescent="0.2">
      <c r="B110" s="190"/>
      <c r="C110" s="103"/>
      <c r="D110" s="103"/>
      <c r="E110" s="103"/>
      <c r="F110" s="103"/>
      <c r="G110" s="103"/>
      <c r="H110" s="103"/>
      <c r="I110" s="103"/>
      <c r="J110" s="103"/>
      <c r="K110" s="103"/>
      <c r="L110" s="103"/>
      <c r="M110" s="103"/>
      <c r="N110" s="103"/>
    </row>
    <row r="111" spans="2:17" ht="10.35" customHeight="1" x14ac:dyDescent="0.2">
      <c r="B111" s="190"/>
      <c r="C111" s="103"/>
      <c r="D111" s="103"/>
      <c r="E111" s="103"/>
      <c r="F111" s="103"/>
      <c r="G111" s="103"/>
      <c r="H111" s="103"/>
      <c r="I111" s="103"/>
      <c r="J111" s="103"/>
      <c r="K111" s="103"/>
      <c r="L111" s="103"/>
      <c r="M111" s="103"/>
      <c r="N111" s="103"/>
    </row>
    <row r="112" spans="2:17" ht="10.35" customHeight="1" x14ac:dyDescent="0.2">
      <c r="B112" s="190"/>
      <c r="C112" s="103"/>
      <c r="D112" s="103"/>
      <c r="E112" s="103"/>
      <c r="F112" s="103"/>
      <c r="G112" s="103"/>
      <c r="H112" s="103"/>
      <c r="I112" s="103"/>
      <c r="J112" s="103"/>
      <c r="K112" s="103"/>
      <c r="L112" s="103"/>
      <c r="M112" s="103"/>
      <c r="N112" s="103"/>
    </row>
    <row r="113" spans="2:14" ht="10.35" customHeight="1" x14ac:dyDescent="0.2">
      <c r="B113" s="190"/>
      <c r="C113" s="103"/>
      <c r="D113" s="103"/>
      <c r="E113" s="103"/>
      <c r="F113" s="103"/>
      <c r="G113" s="103"/>
      <c r="H113" s="103"/>
      <c r="I113" s="103"/>
      <c r="J113" s="103"/>
      <c r="K113" s="103"/>
      <c r="L113" s="103"/>
      <c r="M113" s="103"/>
      <c r="N113" s="103"/>
    </row>
    <row r="114" spans="2:14" ht="10.35" customHeight="1" x14ac:dyDescent="0.2">
      <c r="B114" s="190"/>
      <c r="C114" s="103"/>
      <c r="D114" s="103"/>
      <c r="E114" s="103"/>
      <c r="F114" s="103"/>
      <c r="G114" s="103"/>
      <c r="H114" s="103"/>
      <c r="I114" s="103"/>
      <c r="J114" s="103"/>
      <c r="K114" s="103"/>
      <c r="L114" s="103"/>
      <c r="M114" s="103"/>
      <c r="N114" s="103"/>
    </row>
    <row r="115" spans="2:14" ht="10.35" customHeight="1" x14ac:dyDescent="0.2">
      <c r="B115" s="190"/>
      <c r="C115" s="103"/>
      <c r="D115" s="103"/>
      <c r="E115" s="103"/>
      <c r="F115" s="103"/>
      <c r="G115" s="103"/>
      <c r="H115" s="103"/>
      <c r="I115" s="103"/>
      <c r="J115" s="103"/>
      <c r="K115" s="103"/>
      <c r="L115" s="103"/>
      <c r="M115" s="103"/>
      <c r="N115" s="103"/>
    </row>
    <row r="116" spans="2:14" ht="10.35" customHeight="1" x14ac:dyDescent="0.2">
      <c r="B116" s="190"/>
      <c r="C116" s="103"/>
      <c r="D116" s="103"/>
      <c r="E116" s="103"/>
      <c r="F116" s="103"/>
      <c r="G116" s="103"/>
      <c r="H116" s="103"/>
      <c r="I116" s="103"/>
      <c r="J116" s="103"/>
      <c r="K116" s="103"/>
      <c r="L116" s="103"/>
      <c r="M116" s="103"/>
      <c r="N116" s="103"/>
    </row>
    <row r="117" spans="2:14" ht="10.35" customHeight="1" x14ac:dyDescent="0.2">
      <c r="B117" s="190"/>
      <c r="C117" s="103"/>
      <c r="D117" s="103"/>
      <c r="E117" s="103"/>
      <c r="F117" s="103"/>
      <c r="G117" s="103"/>
      <c r="H117" s="103"/>
      <c r="I117" s="103"/>
      <c r="J117" s="103"/>
      <c r="K117" s="103"/>
      <c r="L117" s="103"/>
      <c r="M117" s="103"/>
      <c r="N117" s="103"/>
    </row>
    <row r="118" spans="2:14" ht="10.35" customHeight="1" x14ac:dyDescent="0.2">
      <c r="B118" s="190"/>
      <c r="C118" s="103"/>
      <c r="D118" s="103"/>
      <c r="E118" s="103"/>
      <c r="F118" s="103"/>
      <c r="G118" s="103"/>
      <c r="H118" s="103"/>
      <c r="I118" s="103"/>
      <c r="J118" s="103"/>
      <c r="K118" s="103"/>
      <c r="L118" s="103"/>
      <c r="M118" s="103"/>
      <c r="N118" s="103"/>
    </row>
    <row r="119" spans="2:14" ht="10.35" customHeight="1" x14ac:dyDescent="0.2">
      <c r="B119" s="190"/>
      <c r="C119" s="103"/>
      <c r="D119" s="103"/>
      <c r="E119" s="103"/>
      <c r="F119" s="103"/>
      <c r="G119" s="103"/>
      <c r="H119" s="103"/>
      <c r="I119" s="103"/>
      <c r="J119" s="103"/>
      <c r="K119" s="103"/>
      <c r="L119" s="103"/>
      <c r="M119" s="103"/>
      <c r="N119" s="103"/>
    </row>
    <row r="120" spans="2:14" x14ac:dyDescent="0.2">
      <c r="B120" s="190"/>
      <c r="C120" s="103"/>
      <c r="D120" s="103"/>
      <c r="E120" s="103"/>
      <c r="F120" s="103"/>
      <c r="G120" s="103"/>
      <c r="H120" s="103"/>
      <c r="I120" s="103"/>
      <c r="J120" s="103"/>
      <c r="K120" s="103"/>
      <c r="L120" s="103"/>
      <c r="M120" s="103"/>
      <c r="N120" s="103"/>
    </row>
    <row r="121" spans="2:14" x14ac:dyDescent="0.2">
      <c r="B121" s="190"/>
      <c r="C121" s="103"/>
      <c r="D121" s="103"/>
      <c r="E121" s="103"/>
      <c r="F121" s="103"/>
      <c r="G121" s="103"/>
      <c r="H121" s="103"/>
      <c r="I121" s="103"/>
      <c r="J121" s="103"/>
      <c r="K121" s="103"/>
      <c r="L121" s="103"/>
      <c r="M121" s="103"/>
      <c r="N121" s="103"/>
    </row>
    <row r="122" spans="2:14" x14ac:dyDescent="0.2">
      <c r="B122" s="190"/>
      <c r="C122" s="103"/>
      <c r="D122" s="103"/>
      <c r="E122" s="103"/>
      <c r="F122" s="103"/>
      <c r="G122" s="103"/>
      <c r="H122" s="103"/>
      <c r="I122" s="103"/>
      <c r="J122" s="103"/>
      <c r="K122" s="103"/>
      <c r="L122" s="103"/>
      <c r="M122" s="103"/>
      <c r="N122" s="103"/>
    </row>
    <row r="123" spans="2:14" x14ac:dyDescent="0.2">
      <c r="B123" s="190"/>
      <c r="C123" s="103"/>
      <c r="D123" s="103"/>
      <c r="E123" s="103"/>
      <c r="F123" s="103"/>
      <c r="G123" s="103"/>
      <c r="H123" s="103"/>
      <c r="I123" s="103"/>
      <c r="J123" s="103"/>
      <c r="K123" s="103"/>
      <c r="L123" s="103"/>
      <c r="M123" s="103"/>
      <c r="N123" s="103"/>
    </row>
    <row r="124" spans="2:14" x14ac:dyDescent="0.2">
      <c r="B124" s="190"/>
      <c r="C124" s="103"/>
      <c r="D124" s="103"/>
      <c r="E124" s="103"/>
      <c r="F124" s="103"/>
      <c r="G124" s="103"/>
      <c r="H124" s="103"/>
      <c r="I124" s="103"/>
      <c r="J124" s="103"/>
      <c r="K124" s="103"/>
      <c r="L124" s="103"/>
      <c r="M124" s="103"/>
      <c r="N124" s="103"/>
    </row>
    <row r="125" spans="2:14" x14ac:dyDescent="0.2">
      <c r="B125" s="190"/>
      <c r="C125" s="103"/>
      <c r="D125" s="103"/>
      <c r="E125" s="103"/>
      <c r="F125" s="103"/>
      <c r="G125" s="103"/>
      <c r="H125" s="103"/>
      <c r="I125" s="103"/>
      <c r="J125" s="103"/>
      <c r="K125" s="103"/>
      <c r="L125" s="103"/>
      <c r="M125" s="103"/>
      <c r="N125" s="103"/>
    </row>
    <row r="126" spans="2:14" x14ac:dyDescent="0.2">
      <c r="B126" s="190"/>
      <c r="C126" s="103"/>
      <c r="D126" s="103"/>
      <c r="E126" s="103"/>
      <c r="F126" s="103"/>
      <c r="G126" s="103"/>
      <c r="H126" s="103"/>
      <c r="I126" s="103"/>
      <c r="J126" s="103"/>
      <c r="K126" s="103"/>
      <c r="L126" s="103"/>
      <c r="M126" s="103"/>
      <c r="N126" s="103"/>
    </row>
    <row r="127" spans="2:14" x14ac:dyDescent="0.2">
      <c r="B127" s="190"/>
      <c r="C127" s="103"/>
      <c r="D127" s="103"/>
      <c r="E127" s="103"/>
      <c r="F127" s="103"/>
      <c r="G127" s="103"/>
      <c r="H127" s="103"/>
      <c r="I127" s="103"/>
      <c r="J127" s="103"/>
      <c r="K127" s="103"/>
      <c r="L127" s="103"/>
      <c r="M127" s="103"/>
      <c r="N127" s="103"/>
    </row>
    <row r="128" spans="2:14" x14ac:dyDescent="0.2">
      <c r="B128" s="190"/>
      <c r="C128" s="103"/>
      <c r="D128" s="103"/>
      <c r="E128" s="103"/>
      <c r="F128" s="103"/>
      <c r="G128" s="103"/>
      <c r="H128" s="103"/>
      <c r="I128" s="103"/>
      <c r="J128" s="103"/>
      <c r="K128" s="103"/>
      <c r="L128" s="103"/>
      <c r="M128" s="103"/>
      <c r="N128" s="103"/>
    </row>
    <row r="129" spans="2:14" x14ac:dyDescent="0.2">
      <c r="B129" s="190"/>
      <c r="C129" s="103"/>
      <c r="D129" s="103"/>
      <c r="E129" s="103"/>
      <c r="F129" s="103"/>
      <c r="G129" s="103"/>
      <c r="H129" s="103"/>
      <c r="I129" s="103"/>
      <c r="J129" s="103"/>
      <c r="K129" s="103"/>
      <c r="L129" s="103"/>
      <c r="M129" s="103"/>
      <c r="N129" s="103"/>
    </row>
    <row r="130" spans="2:14" x14ac:dyDescent="0.2">
      <c r="B130" s="190"/>
      <c r="C130" s="103"/>
      <c r="D130" s="103"/>
      <c r="E130" s="103"/>
      <c r="F130" s="103"/>
      <c r="G130" s="103"/>
      <c r="H130" s="103"/>
      <c r="I130" s="103"/>
      <c r="J130" s="103"/>
      <c r="K130" s="103"/>
      <c r="L130" s="103"/>
      <c r="M130" s="103"/>
      <c r="N130" s="103"/>
    </row>
    <row r="131" spans="2:14" x14ac:dyDescent="0.2">
      <c r="B131" s="190"/>
      <c r="C131" s="103"/>
      <c r="D131" s="103"/>
      <c r="E131" s="103"/>
      <c r="F131" s="103"/>
      <c r="G131" s="103"/>
      <c r="H131" s="103"/>
      <c r="I131" s="103"/>
      <c r="J131" s="103"/>
      <c r="K131" s="103"/>
      <c r="L131" s="103"/>
      <c r="M131" s="103"/>
      <c r="N131" s="103"/>
    </row>
    <row r="132" spans="2:14" x14ac:dyDescent="0.2">
      <c r="B132" s="190"/>
      <c r="C132" s="103"/>
      <c r="D132" s="103"/>
      <c r="E132" s="103"/>
      <c r="F132" s="103"/>
      <c r="G132" s="103"/>
      <c r="H132" s="103"/>
      <c r="I132" s="103"/>
      <c r="J132" s="103"/>
      <c r="K132" s="103"/>
      <c r="L132" s="103"/>
      <c r="M132" s="103"/>
      <c r="N132" s="103"/>
    </row>
    <row r="133" spans="2:14" x14ac:dyDescent="0.2">
      <c r="B133" s="190"/>
      <c r="C133" s="103"/>
      <c r="D133" s="103"/>
      <c r="E133" s="103"/>
      <c r="F133" s="103"/>
      <c r="G133" s="103"/>
      <c r="H133" s="103"/>
      <c r="I133" s="103"/>
      <c r="J133" s="103"/>
      <c r="K133" s="103"/>
      <c r="L133" s="103"/>
      <c r="M133" s="103"/>
      <c r="N133" s="103"/>
    </row>
    <row r="134" spans="2:14" x14ac:dyDescent="0.2">
      <c r="B134" s="190"/>
      <c r="C134" s="103"/>
      <c r="D134" s="103"/>
      <c r="E134" s="103"/>
      <c r="F134" s="103"/>
      <c r="G134" s="103"/>
      <c r="H134" s="103"/>
      <c r="I134" s="103"/>
      <c r="J134" s="103"/>
      <c r="K134" s="103"/>
      <c r="L134" s="103"/>
      <c r="M134" s="103"/>
      <c r="N134" s="103"/>
    </row>
    <row r="135" spans="2:14" x14ac:dyDescent="0.2">
      <c r="B135" s="190"/>
      <c r="C135" s="103"/>
      <c r="D135" s="103"/>
      <c r="E135" s="103"/>
      <c r="F135" s="103"/>
      <c r="G135" s="103"/>
      <c r="H135" s="103"/>
      <c r="I135" s="103"/>
      <c r="J135" s="103"/>
      <c r="K135" s="103"/>
      <c r="L135" s="103"/>
      <c r="M135" s="103"/>
      <c r="N135" s="103"/>
    </row>
    <row r="136" spans="2:14" x14ac:dyDescent="0.2">
      <c r="B136" s="190"/>
      <c r="C136" s="103"/>
      <c r="D136" s="103"/>
      <c r="E136" s="103"/>
      <c r="F136" s="103"/>
      <c r="G136" s="103"/>
      <c r="H136" s="103"/>
      <c r="I136" s="103"/>
      <c r="J136" s="103"/>
      <c r="K136" s="103"/>
      <c r="L136" s="103"/>
      <c r="M136" s="103"/>
      <c r="N136" s="103"/>
    </row>
    <row r="137" spans="2:14" x14ac:dyDescent="0.2">
      <c r="B137" s="190"/>
      <c r="C137" s="103"/>
      <c r="D137" s="103"/>
      <c r="E137" s="103"/>
      <c r="F137" s="103"/>
      <c r="G137" s="103"/>
      <c r="H137" s="103"/>
      <c r="I137" s="103"/>
      <c r="J137" s="103"/>
      <c r="K137" s="103"/>
      <c r="L137" s="103"/>
      <c r="M137" s="103"/>
      <c r="N137" s="103"/>
    </row>
    <row r="138" spans="2:14" x14ac:dyDescent="0.2">
      <c r="B138" s="190"/>
      <c r="C138" s="103"/>
      <c r="D138" s="103"/>
      <c r="E138" s="103"/>
      <c r="F138" s="103"/>
      <c r="G138" s="103"/>
      <c r="H138" s="103"/>
      <c r="I138" s="103"/>
      <c r="J138" s="103"/>
      <c r="K138" s="103"/>
      <c r="L138" s="103"/>
      <c r="M138" s="103"/>
      <c r="N138" s="103"/>
    </row>
    <row r="139" spans="2:14" x14ac:dyDescent="0.2">
      <c r="B139" s="190"/>
      <c r="C139" s="103"/>
      <c r="D139" s="103"/>
      <c r="E139" s="103"/>
      <c r="F139" s="103"/>
      <c r="G139" s="103"/>
      <c r="H139" s="103"/>
      <c r="I139" s="103"/>
      <c r="J139" s="103"/>
      <c r="K139" s="103"/>
      <c r="L139" s="103"/>
      <c r="M139" s="103"/>
      <c r="N139" s="103"/>
    </row>
    <row r="140" spans="2:14" x14ac:dyDescent="0.2">
      <c r="B140" s="190"/>
      <c r="C140" s="103"/>
      <c r="D140" s="103"/>
      <c r="E140" s="103"/>
      <c r="F140" s="103"/>
      <c r="G140" s="103"/>
      <c r="H140" s="103"/>
      <c r="I140" s="103"/>
      <c r="J140" s="103"/>
      <c r="K140" s="103"/>
      <c r="L140" s="103"/>
      <c r="M140" s="103"/>
      <c r="N140" s="103"/>
    </row>
    <row r="141" spans="2:14" x14ac:dyDescent="0.2">
      <c r="B141" s="190"/>
      <c r="C141" s="103"/>
      <c r="D141" s="103"/>
      <c r="E141" s="103"/>
      <c r="F141" s="103"/>
      <c r="G141" s="103"/>
      <c r="H141" s="103"/>
      <c r="I141" s="103"/>
      <c r="J141" s="103"/>
      <c r="K141" s="103"/>
      <c r="L141" s="103"/>
      <c r="M141" s="103"/>
      <c r="N141" s="103"/>
    </row>
    <row r="142" spans="2:14" x14ac:dyDescent="0.2">
      <c r="B142" s="190"/>
      <c r="C142" s="103"/>
      <c r="D142" s="103"/>
      <c r="E142" s="103"/>
      <c r="F142" s="103"/>
      <c r="G142" s="103"/>
      <c r="H142" s="103"/>
      <c r="I142" s="103"/>
      <c r="J142" s="103"/>
      <c r="K142" s="103"/>
      <c r="L142" s="103"/>
      <c r="M142" s="103"/>
      <c r="N142" s="103"/>
    </row>
    <row r="143" spans="2:14" x14ac:dyDescent="0.2">
      <c r="B143" s="190"/>
      <c r="C143" s="103"/>
      <c r="D143" s="103"/>
      <c r="E143" s="103"/>
      <c r="F143" s="103"/>
      <c r="G143" s="103"/>
      <c r="H143" s="103"/>
      <c r="I143" s="103"/>
      <c r="J143" s="103"/>
      <c r="K143" s="103"/>
      <c r="L143" s="103"/>
      <c r="M143" s="103"/>
      <c r="N143" s="103"/>
    </row>
    <row r="144" spans="2:14" x14ac:dyDescent="0.2">
      <c r="B144" s="190"/>
      <c r="C144" s="103"/>
      <c r="D144" s="103"/>
      <c r="E144" s="103"/>
      <c r="F144" s="103"/>
      <c r="G144" s="103"/>
      <c r="H144" s="103"/>
      <c r="I144" s="103"/>
      <c r="J144" s="103"/>
      <c r="K144" s="103"/>
      <c r="L144" s="103"/>
      <c r="M144" s="103"/>
      <c r="N144" s="103"/>
    </row>
    <row r="145" spans="2:14" x14ac:dyDescent="0.2">
      <c r="B145" s="190"/>
      <c r="C145" s="103"/>
      <c r="D145" s="103"/>
      <c r="E145" s="103"/>
      <c r="F145" s="103"/>
      <c r="G145" s="103"/>
      <c r="H145" s="103"/>
      <c r="I145" s="103"/>
      <c r="J145" s="103"/>
      <c r="K145" s="103"/>
      <c r="L145" s="103"/>
      <c r="M145" s="103"/>
      <c r="N145" s="103"/>
    </row>
    <row r="146" spans="2:14" x14ac:dyDescent="0.2">
      <c r="B146" s="190"/>
      <c r="C146" s="103"/>
      <c r="D146" s="103"/>
      <c r="E146" s="103"/>
      <c r="F146" s="103"/>
      <c r="G146" s="103"/>
      <c r="H146" s="103"/>
      <c r="I146" s="103"/>
      <c r="J146" s="103"/>
      <c r="K146" s="103"/>
      <c r="L146" s="103"/>
      <c r="M146" s="103"/>
      <c r="N146" s="103"/>
    </row>
    <row r="147" spans="2:14" x14ac:dyDescent="0.2">
      <c r="B147" s="190"/>
      <c r="C147" s="103"/>
      <c r="D147" s="103"/>
      <c r="E147" s="103"/>
      <c r="F147" s="103"/>
      <c r="G147" s="103"/>
      <c r="H147" s="103"/>
      <c r="I147" s="103"/>
      <c r="J147" s="103"/>
      <c r="K147" s="103"/>
      <c r="L147" s="103"/>
      <c r="M147" s="103"/>
      <c r="N147" s="103"/>
    </row>
    <row r="148" spans="2:14" x14ac:dyDescent="0.2">
      <c r="B148" s="190"/>
      <c r="C148" s="103"/>
      <c r="D148" s="103"/>
      <c r="E148" s="103"/>
      <c r="F148" s="103"/>
      <c r="G148" s="103"/>
      <c r="H148" s="103"/>
      <c r="I148" s="103"/>
      <c r="J148" s="103"/>
      <c r="K148" s="103"/>
      <c r="L148" s="103"/>
      <c r="M148" s="103"/>
      <c r="N148" s="103"/>
    </row>
    <row r="149" spans="2:14" x14ac:dyDescent="0.2">
      <c r="B149" s="190"/>
      <c r="C149" s="103"/>
      <c r="D149" s="103"/>
      <c r="E149" s="103"/>
      <c r="F149" s="103"/>
      <c r="G149" s="103"/>
      <c r="H149" s="103"/>
      <c r="I149" s="103"/>
      <c r="J149" s="103"/>
      <c r="K149" s="103"/>
      <c r="L149" s="103"/>
      <c r="M149" s="103"/>
      <c r="N149" s="103"/>
    </row>
    <row r="150" spans="2:14" x14ac:dyDescent="0.2">
      <c r="B150" s="190"/>
      <c r="C150" s="103"/>
      <c r="D150" s="103"/>
      <c r="E150" s="103"/>
      <c r="F150" s="103"/>
      <c r="G150" s="103"/>
      <c r="H150" s="103"/>
      <c r="I150" s="103"/>
      <c r="J150" s="103"/>
      <c r="K150" s="103"/>
      <c r="L150" s="103"/>
      <c r="M150" s="103"/>
      <c r="N150" s="103"/>
    </row>
    <row r="151" spans="2:14" x14ac:dyDescent="0.2">
      <c r="B151" s="190"/>
      <c r="C151" s="103"/>
      <c r="D151" s="103"/>
      <c r="E151" s="103"/>
      <c r="F151" s="103"/>
      <c r="G151" s="103"/>
      <c r="H151" s="103"/>
      <c r="I151" s="103"/>
      <c r="J151" s="103"/>
      <c r="K151" s="103"/>
      <c r="L151" s="103"/>
      <c r="M151" s="103"/>
      <c r="N151" s="103"/>
    </row>
    <row r="152" spans="2:14" x14ac:dyDescent="0.2">
      <c r="B152" s="190"/>
      <c r="C152" s="103"/>
      <c r="D152" s="103"/>
      <c r="E152" s="103"/>
      <c r="F152" s="103"/>
      <c r="G152" s="103"/>
      <c r="H152" s="103"/>
      <c r="I152" s="103"/>
      <c r="J152" s="103"/>
      <c r="K152" s="103"/>
      <c r="L152" s="103"/>
      <c r="M152" s="103"/>
      <c r="N152" s="103"/>
    </row>
    <row r="153" spans="2:14" x14ac:dyDescent="0.2">
      <c r="B153" s="190"/>
      <c r="C153" s="103"/>
      <c r="D153" s="103"/>
      <c r="E153" s="103"/>
      <c r="F153" s="103"/>
      <c r="G153" s="103"/>
      <c r="H153" s="103"/>
      <c r="I153" s="103"/>
      <c r="J153" s="103"/>
      <c r="K153" s="103"/>
      <c r="L153" s="103"/>
      <c r="M153" s="103"/>
      <c r="N153" s="103"/>
    </row>
    <row r="154" spans="2:14" x14ac:dyDescent="0.2">
      <c r="B154" s="190"/>
      <c r="C154" s="103"/>
      <c r="D154" s="103"/>
      <c r="E154" s="103"/>
      <c r="F154" s="103"/>
      <c r="G154" s="103"/>
      <c r="H154" s="103"/>
      <c r="I154" s="103"/>
      <c r="J154" s="103"/>
      <c r="K154" s="103"/>
      <c r="L154" s="103"/>
      <c r="M154" s="103"/>
      <c r="N154" s="103"/>
    </row>
    <row r="155" spans="2:14" x14ac:dyDescent="0.2">
      <c r="B155" s="190"/>
      <c r="C155" s="103"/>
      <c r="D155" s="103"/>
      <c r="E155" s="103"/>
      <c r="F155" s="103"/>
      <c r="G155" s="103"/>
      <c r="H155" s="103"/>
      <c r="I155" s="103"/>
      <c r="J155" s="103"/>
      <c r="K155" s="103"/>
      <c r="L155" s="103"/>
      <c r="M155" s="103"/>
      <c r="N155" s="103"/>
    </row>
    <row r="156" spans="2:14" x14ac:dyDescent="0.2">
      <c r="B156" s="190"/>
      <c r="C156" s="103"/>
      <c r="D156" s="103"/>
      <c r="E156" s="103"/>
      <c r="F156" s="103"/>
      <c r="G156" s="103"/>
      <c r="H156" s="103"/>
      <c r="I156" s="103"/>
      <c r="J156" s="103"/>
      <c r="K156" s="103"/>
      <c r="L156" s="103"/>
      <c r="M156" s="103"/>
      <c r="N156" s="103"/>
    </row>
    <row r="157" spans="2:14" x14ac:dyDescent="0.2">
      <c r="B157" s="190"/>
      <c r="C157" s="103"/>
      <c r="D157" s="103"/>
      <c r="E157" s="103"/>
      <c r="F157" s="103"/>
      <c r="G157" s="103"/>
      <c r="H157" s="103"/>
      <c r="I157" s="103"/>
      <c r="J157" s="103"/>
      <c r="K157" s="103"/>
      <c r="L157" s="103"/>
      <c r="M157" s="103"/>
      <c r="N157" s="103"/>
    </row>
    <row r="158" spans="2:14" x14ac:dyDescent="0.2">
      <c r="B158" s="190"/>
      <c r="C158" s="103"/>
      <c r="D158" s="103"/>
      <c r="E158" s="103"/>
      <c r="F158" s="103"/>
      <c r="G158" s="103"/>
      <c r="H158" s="103"/>
      <c r="I158" s="103"/>
      <c r="J158" s="103"/>
      <c r="K158" s="103"/>
      <c r="L158" s="103"/>
      <c r="M158" s="103"/>
      <c r="N158" s="103"/>
    </row>
    <row r="159" spans="2:14" x14ac:dyDescent="0.2">
      <c r="B159" s="190"/>
      <c r="C159" s="103"/>
      <c r="D159" s="103"/>
      <c r="E159" s="103"/>
      <c r="F159" s="103"/>
      <c r="G159" s="103"/>
      <c r="H159" s="103"/>
      <c r="I159" s="103"/>
      <c r="J159" s="103"/>
      <c r="K159" s="103"/>
      <c r="L159" s="103"/>
      <c r="M159" s="103"/>
      <c r="N159" s="103"/>
    </row>
    <row r="160" spans="2:14" x14ac:dyDescent="0.2">
      <c r="B160" s="190"/>
      <c r="C160" s="103"/>
      <c r="D160" s="103"/>
      <c r="E160" s="103"/>
      <c r="F160" s="103"/>
      <c r="G160" s="103"/>
      <c r="H160" s="103"/>
      <c r="I160" s="103"/>
      <c r="J160" s="103"/>
      <c r="K160" s="103"/>
      <c r="L160" s="103"/>
      <c r="M160" s="103"/>
      <c r="N160" s="103"/>
    </row>
    <row r="161" spans="2:14" x14ac:dyDescent="0.2">
      <c r="B161" s="190"/>
      <c r="C161" s="103"/>
      <c r="D161" s="103"/>
      <c r="E161" s="103"/>
      <c r="F161" s="103"/>
      <c r="G161" s="103"/>
      <c r="H161" s="103"/>
      <c r="I161" s="103"/>
      <c r="J161" s="103"/>
      <c r="K161" s="103"/>
      <c r="L161" s="103"/>
      <c r="M161" s="103"/>
      <c r="N161" s="103"/>
    </row>
    <row r="162" spans="2:14" x14ac:dyDescent="0.2">
      <c r="B162" s="190"/>
      <c r="C162" s="103"/>
      <c r="D162" s="103"/>
      <c r="E162" s="103"/>
      <c r="F162" s="103"/>
      <c r="G162" s="103"/>
      <c r="H162" s="103"/>
      <c r="I162" s="103"/>
      <c r="J162" s="103"/>
      <c r="K162" s="103"/>
      <c r="L162" s="103"/>
      <c r="M162" s="103"/>
      <c r="N162" s="103"/>
    </row>
    <row r="163" spans="2:14" x14ac:dyDescent="0.2">
      <c r="B163" s="190"/>
      <c r="C163" s="103"/>
      <c r="D163" s="103"/>
      <c r="E163" s="103"/>
      <c r="F163" s="103"/>
      <c r="G163" s="103"/>
      <c r="H163" s="103"/>
      <c r="I163" s="103"/>
      <c r="J163" s="103"/>
      <c r="K163" s="103"/>
      <c r="L163" s="103"/>
      <c r="M163" s="103"/>
      <c r="N163" s="103"/>
    </row>
    <row r="164" spans="2:14" x14ac:dyDescent="0.2">
      <c r="B164" s="190"/>
      <c r="C164" s="103"/>
      <c r="D164" s="103"/>
      <c r="E164" s="103"/>
      <c r="F164" s="103"/>
      <c r="G164" s="103"/>
      <c r="H164" s="103"/>
      <c r="I164" s="103"/>
      <c r="J164" s="103"/>
      <c r="K164" s="103"/>
      <c r="L164" s="103"/>
      <c r="M164" s="103"/>
      <c r="N164" s="103"/>
    </row>
    <row r="165" spans="2:14" x14ac:dyDescent="0.2">
      <c r="B165" s="190"/>
      <c r="C165" s="103"/>
      <c r="D165" s="103"/>
      <c r="E165" s="103"/>
      <c r="F165" s="103"/>
      <c r="G165" s="103"/>
      <c r="H165" s="103"/>
      <c r="I165" s="103"/>
      <c r="J165" s="103"/>
      <c r="K165" s="103"/>
      <c r="L165" s="103"/>
      <c r="M165" s="103"/>
      <c r="N165" s="103"/>
    </row>
    <row r="166" spans="2:14" x14ac:dyDescent="0.2">
      <c r="B166" s="190"/>
      <c r="C166" s="103"/>
      <c r="D166" s="103"/>
      <c r="E166" s="103"/>
      <c r="F166" s="103"/>
      <c r="G166" s="103"/>
      <c r="H166" s="103"/>
      <c r="I166" s="103"/>
      <c r="J166" s="103"/>
      <c r="K166" s="103"/>
      <c r="L166" s="103"/>
      <c r="M166" s="103"/>
      <c r="N166" s="103"/>
    </row>
    <row r="167" spans="2:14" x14ac:dyDescent="0.2">
      <c r="B167" s="190"/>
      <c r="C167" s="103"/>
      <c r="D167" s="103"/>
      <c r="E167" s="103"/>
      <c r="F167" s="103"/>
      <c r="G167" s="103"/>
      <c r="H167" s="103"/>
      <c r="I167" s="103"/>
      <c r="J167" s="103"/>
      <c r="K167" s="103"/>
      <c r="L167" s="103"/>
      <c r="M167" s="103"/>
      <c r="N167" s="103"/>
    </row>
    <row r="168" spans="2:14" x14ac:dyDescent="0.2">
      <c r="B168" s="190"/>
      <c r="C168" s="103"/>
      <c r="D168" s="103"/>
      <c r="E168" s="103"/>
      <c r="F168" s="103"/>
      <c r="G168" s="103"/>
      <c r="H168" s="103"/>
      <c r="I168" s="103"/>
      <c r="J168" s="103"/>
      <c r="K168" s="103"/>
      <c r="L168" s="103"/>
      <c r="M168" s="103"/>
      <c r="N168" s="103"/>
    </row>
    <row r="169" spans="2:14" x14ac:dyDescent="0.2">
      <c r="B169" s="190"/>
      <c r="C169" s="103"/>
      <c r="D169" s="103"/>
      <c r="E169" s="103"/>
      <c r="F169" s="103"/>
      <c r="G169" s="103"/>
      <c r="H169" s="103"/>
      <c r="I169" s="103"/>
      <c r="J169" s="103"/>
      <c r="K169" s="103"/>
      <c r="L169" s="103"/>
      <c r="M169" s="103"/>
      <c r="N169" s="103"/>
    </row>
    <row r="170" spans="2:14" x14ac:dyDescent="0.2">
      <c r="B170" s="190"/>
      <c r="C170" s="103"/>
      <c r="D170" s="103"/>
      <c r="E170" s="103"/>
      <c r="F170" s="103"/>
      <c r="G170" s="103"/>
      <c r="H170" s="103"/>
      <c r="I170" s="103"/>
      <c r="J170" s="103"/>
      <c r="K170" s="103"/>
      <c r="L170" s="103"/>
      <c r="M170" s="103"/>
      <c r="N170" s="103"/>
    </row>
    <row r="171" spans="2:14" x14ac:dyDescent="0.2">
      <c r="B171" s="190"/>
      <c r="C171" s="103"/>
      <c r="D171" s="103"/>
      <c r="E171" s="103"/>
      <c r="F171" s="103"/>
      <c r="G171" s="103"/>
      <c r="H171" s="103"/>
      <c r="I171" s="103"/>
      <c r="J171" s="103"/>
      <c r="K171" s="103"/>
      <c r="L171" s="103"/>
      <c r="M171" s="103"/>
      <c r="N171" s="103"/>
    </row>
    <row r="172" spans="2:14" x14ac:dyDescent="0.2">
      <c r="B172" s="190"/>
      <c r="C172" s="103"/>
      <c r="D172" s="103"/>
      <c r="E172" s="103"/>
      <c r="F172" s="103"/>
      <c r="G172" s="103"/>
      <c r="H172" s="103"/>
      <c r="I172" s="103"/>
      <c r="J172" s="103"/>
      <c r="K172" s="103"/>
      <c r="L172" s="103"/>
      <c r="M172" s="103"/>
      <c r="N172" s="103"/>
    </row>
    <row r="173" spans="2:14" x14ac:dyDescent="0.2">
      <c r="B173" s="190"/>
      <c r="C173" s="103"/>
      <c r="D173" s="103"/>
      <c r="E173" s="103"/>
      <c r="F173" s="103"/>
      <c r="G173" s="103"/>
      <c r="H173" s="103"/>
      <c r="I173" s="103"/>
      <c r="J173" s="103"/>
      <c r="K173" s="103"/>
      <c r="L173" s="103"/>
      <c r="M173" s="103"/>
      <c r="N173" s="103"/>
    </row>
    <row r="174" spans="2:14" x14ac:dyDescent="0.2">
      <c r="B174" s="190"/>
      <c r="C174" s="103"/>
      <c r="D174" s="103"/>
      <c r="E174" s="103"/>
      <c r="F174" s="103"/>
      <c r="G174" s="103"/>
      <c r="H174" s="103"/>
      <c r="I174" s="103"/>
      <c r="J174" s="103"/>
      <c r="K174" s="103"/>
      <c r="L174" s="103"/>
      <c r="M174" s="103"/>
      <c r="N174" s="103"/>
    </row>
    <row r="175" spans="2:14" x14ac:dyDescent="0.2">
      <c r="B175" s="190"/>
      <c r="C175" s="103"/>
      <c r="D175" s="103"/>
      <c r="E175" s="103"/>
      <c r="F175" s="103"/>
      <c r="G175" s="103"/>
      <c r="H175" s="103"/>
      <c r="I175" s="103"/>
      <c r="J175" s="103"/>
      <c r="K175" s="103"/>
      <c r="L175" s="103"/>
      <c r="M175" s="103"/>
      <c r="N175" s="103"/>
    </row>
    <row r="176" spans="2:14" x14ac:dyDescent="0.2">
      <c r="B176" s="190"/>
      <c r="C176" s="103"/>
      <c r="D176" s="103"/>
      <c r="E176" s="103"/>
      <c r="F176" s="103"/>
      <c r="G176" s="103"/>
      <c r="H176" s="103"/>
      <c r="I176" s="103"/>
      <c r="J176" s="103"/>
      <c r="K176" s="103"/>
      <c r="L176" s="103"/>
      <c r="M176" s="103"/>
      <c r="N176" s="103"/>
    </row>
    <row r="177" spans="2:14" x14ac:dyDescent="0.2">
      <c r="B177" s="190"/>
      <c r="C177" s="103"/>
      <c r="D177" s="103"/>
      <c r="E177" s="103"/>
      <c r="F177" s="103"/>
      <c r="G177" s="103"/>
      <c r="H177" s="103"/>
      <c r="I177" s="103"/>
      <c r="J177" s="103"/>
      <c r="K177" s="103"/>
      <c r="L177" s="103"/>
      <c r="M177" s="103"/>
      <c r="N177" s="103"/>
    </row>
    <row r="178" spans="2:14" x14ac:dyDescent="0.2">
      <c r="B178" s="190"/>
      <c r="C178" s="103"/>
      <c r="D178" s="103"/>
      <c r="E178" s="103"/>
      <c r="F178" s="103"/>
      <c r="G178" s="103"/>
      <c r="H178" s="103"/>
      <c r="I178" s="103"/>
      <c r="J178" s="103"/>
      <c r="K178" s="103"/>
      <c r="L178" s="103"/>
      <c r="M178" s="103"/>
      <c r="N178" s="103"/>
    </row>
    <row r="179" spans="2:14" x14ac:dyDescent="0.2">
      <c r="B179" s="190"/>
      <c r="C179" s="103"/>
      <c r="D179" s="103"/>
      <c r="E179" s="103"/>
      <c r="F179" s="103"/>
      <c r="G179" s="103"/>
      <c r="H179" s="103"/>
      <c r="I179" s="103"/>
      <c r="J179" s="103"/>
      <c r="K179" s="103"/>
      <c r="L179" s="103"/>
      <c r="M179" s="103"/>
      <c r="N179" s="103"/>
    </row>
    <row r="180" spans="2:14" x14ac:dyDescent="0.2">
      <c r="B180" s="190"/>
      <c r="C180" s="103"/>
      <c r="D180" s="103"/>
      <c r="E180" s="103"/>
      <c r="F180" s="103"/>
      <c r="G180" s="103"/>
      <c r="H180" s="103"/>
      <c r="I180" s="103"/>
      <c r="J180" s="103"/>
      <c r="K180" s="103"/>
      <c r="L180" s="103"/>
      <c r="M180" s="103"/>
      <c r="N180" s="103"/>
    </row>
    <row r="181" spans="2:14" x14ac:dyDescent="0.2">
      <c r="B181" s="190"/>
      <c r="C181" s="103"/>
      <c r="D181" s="103"/>
      <c r="E181" s="103"/>
      <c r="F181" s="103"/>
      <c r="G181" s="103"/>
      <c r="H181" s="103"/>
      <c r="I181" s="103"/>
      <c r="J181" s="103"/>
      <c r="K181" s="103"/>
      <c r="L181" s="103"/>
      <c r="M181" s="103"/>
      <c r="N181" s="103"/>
    </row>
    <row r="182" spans="2:14" x14ac:dyDescent="0.2">
      <c r="B182" s="190"/>
      <c r="C182" s="103"/>
      <c r="D182" s="103"/>
      <c r="E182" s="103"/>
      <c r="F182" s="103"/>
      <c r="G182" s="103"/>
      <c r="H182" s="103"/>
      <c r="I182" s="103"/>
      <c r="J182" s="103"/>
      <c r="K182" s="103"/>
      <c r="L182" s="103"/>
      <c r="M182" s="103"/>
      <c r="N182" s="103"/>
    </row>
    <row r="183" spans="2:14" x14ac:dyDescent="0.2">
      <c r="B183" s="190"/>
      <c r="C183" s="103"/>
      <c r="D183" s="103"/>
      <c r="E183" s="103"/>
      <c r="F183" s="103"/>
      <c r="G183" s="103"/>
      <c r="H183" s="103"/>
      <c r="I183" s="103"/>
      <c r="J183" s="103"/>
      <c r="K183" s="103"/>
      <c r="L183" s="103"/>
      <c r="M183" s="103"/>
      <c r="N183" s="103"/>
    </row>
    <row r="184" spans="2:14" x14ac:dyDescent="0.2">
      <c r="B184" s="190"/>
      <c r="C184" s="103"/>
      <c r="D184" s="103"/>
      <c r="E184" s="103"/>
      <c r="F184" s="103"/>
      <c r="G184" s="103"/>
      <c r="H184" s="103"/>
      <c r="I184" s="103"/>
      <c r="J184" s="103"/>
      <c r="K184" s="103"/>
      <c r="L184" s="103"/>
      <c r="M184" s="103"/>
      <c r="N184" s="103"/>
    </row>
    <row r="185" spans="2:14" x14ac:dyDescent="0.2">
      <c r="B185" s="190"/>
      <c r="C185" s="103"/>
      <c r="D185" s="103"/>
      <c r="E185" s="103"/>
      <c r="F185" s="103"/>
      <c r="G185" s="103"/>
      <c r="H185" s="103"/>
      <c r="I185" s="103"/>
      <c r="J185" s="103"/>
      <c r="K185" s="103"/>
      <c r="L185" s="103"/>
      <c r="M185" s="103"/>
      <c r="N185" s="103"/>
    </row>
    <row r="186" spans="2:14" x14ac:dyDescent="0.2">
      <c r="B186" s="190"/>
      <c r="C186" s="103"/>
      <c r="D186" s="103"/>
      <c r="E186" s="103"/>
      <c r="F186" s="103"/>
      <c r="G186" s="103"/>
      <c r="H186" s="103"/>
      <c r="I186" s="103"/>
      <c r="J186" s="103"/>
      <c r="K186" s="103"/>
      <c r="L186" s="103"/>
      <c r="M186" s="103"/>
      <c r="N186" s="103"/>
    </row>
    <row r="187" spans="2:14" x14ac:dyDescent="0.2">
      <c r="B187" s="190"/>
      <c r="C187" s="103"/>
      <c r="D187" s="103"/>
      <c r="E187" s="103"/>
      <c r="F187" s="103"/>
      <c r="G187" s="103"/>
      <c r="H187" s="103"/>
      <c r="I187" s="103"/>
      <c r="J187" s="103"/>
      <c r="K187" s="103"/>
      <c r="L187" s="103"/>
      <c r="M187" s="103"/>
      <c r="N187" s="103"/>
    </row>
    <row r="188" spans="2:14" x14ac:dyDescent="0.2">
      <c r="B188" s="190"/>
      <c r="C188" s="103"/>
      <c r="D188" s="103"/>
      <c r="E188" s="103"/>
      <c r="F188" s="103"/>
      <c r="G188" s="103"/>
      <c r="H188" s="103"/>
      <c r="I188" s="103"/>
      <c r="J188" s="103"/>
      <c r="K188" s="103"/>
      <c r="L188" s="103"/>
      <c r="M188" s="103"/>
      <c r="N188" s="103"/>
    </row>
    <row r="189" spans="2:14" x14ac:dyDescent="0.2">
      <c r="B189" s="190"/>
      <c r="C189" s="103"/>
      <c r="D189" s="103"/>
      <c r="E189" s="103"/>
      <c r="F189" s="103"/>
      <c r="G189" s="103"/>
      <c r="H189" s="103"/>
      <c r="I189" s="103"/>
      <c r="J189" s="103"/>
      <c r="K189" s="103"/>
      <c r="L189" s="103"/>
      <c r="M189" s="103"/>
      <c r="N189" s="103"/>
    </row>
    <row r="190" spans="2:14" x14ac:dyDescent="0.2">
      <c r="B190" s="190"/>
      <c r="C190" s="103"/>
      <c r="D190" s="103"/>
      <c r="E190" s="103"/>
      <c r="F190" s="103"/>
      <c r="G190" s="103"/>
      <c r="H190" s="103"/>
      <c r="I190" s="103"/>
      <c r="J190" s="103"/>
      <c r="K190" s="103"/>
      <c r="L190" s="103"/>
      <c r="M190" s="103"/>
      <c r="N190" s="103"/>
    </row>
    <row r="191" spans="2:14" x14ac:dyDescent="0.2">
      <c r="B191" s="190"/>
      <c r="C191" s="103"/>
      <c r="D191" s="103"/>
      <c r="E191" s="103"/>
      <c r="F191" s="103"/>
      <c r="G191" s="103"/>
      <c r="H191" s="103"/>
      <c r="I191" s="103"/>
      <c r="J191" s="103"/>
      <c r="K191" s="103"/>
      <c r="L191" s="103"/>
      <c r="M191" s="103"/>
      <c r="N191" s="103"/>
    </row>
    <row r="192" spans="2:14" x14ac:dyDescent="0.2">
      <c r="B192" s="190"/>
      <c r="C192" s="103"/>
      <c r="D192" s="103"/>
      <c r="E192" s="103"/>
      <c r="F192" s="103"/>
      <c r="G192" s="103"/>
      <c r="H192" s="103"/>
      <c r="I192" s="103"/>
      <c r="J192" s="103"/>
      <c r="K192" s="103"/>
      <c r="L192" s="103"/>
      <c r="M192" s="103"/>
      <c r="N192" s="103"/>
    </row>
    <row r="193" spans="2:14" x14ac:dyDescent="0.2">
      <c r="B193" s="190"/>
      <c r="C193" s="103"/>
      <c r="D193" s="103"/>
      <c r="E193" s="103"/>
      <c r="F193" s="103"/>
      <c r="G193" s="103"/>
      <c r="H193" s="103"/>
      <c r="I193" s="103"/>
      <c r="J193" s="103"/>
      <c r="K193" s="103"/>
      <c r="L193" s="103"/>
      <c r="M193" s="103"/>
      <c r="N193" s="103"/>
    </row>
    <row r="194" spans="2:14" x14ac:dyDescent="0.2">
      <c r="B194" s="190"/>
      <c r="C194" s="103"/>
      <c r="D194" s="103"/>
      <c r="E194" s="103"/>
      <c r="F194" s="103"/>
      <c r="G194" s="103"/>
      <c r="H194" s="103"/>
      <c r="I194" s="103"/>
      <c r="J194" s="103"/>
      <c r="K194" s="103"/>
      <c r="L194" s="103"/>
      <c r="M194" s="103"/>
      <c r="N194" s="103"/>
    </row>
    <row r="195" spans="2:14" x14ac:dyDescent="0.2">
      <c r="B195" s="190"/>
      <c r="C195" s="103"/>
      <c r="D195" s="103"/>
      <c r="E195" s="103"/>
      <c r="F195" s="103"/>
      <c r="G195" s="103"/>
      <c r="H195" s="103"/>
      <c r="I195" s="103"/>
      <c r="J195" s="103"/>
      <c r="K195" s="103"/>
      <c r="L195" s="103"/>
      <c r="M195" s="103"/>
      <c r="N195" s="103"/>
    </row>
    <row r="196" spans="2:14" x14ac:dyDescent="0.2">
      <c r="B196" s="190"/>
      <c r="C196" s="103"/>
      <c r="D196" s="103"/>
      <c r="E196" s="103"/>
      <c r="F196" s="103"/>
      <c r="G196" s="103"/>
      <c r="H196" s="103"/>
      <c r="I196" s="103"/>
      <c r="J196" s="103"/>
      <c r="K196" s="103"/>
      <c r="L196" s="103"/>
      <c r="M196" s="103"/>
      <c r="N196" s="103"/>
    </row>
    <row r="197" spans="2:14" x14ac:dyDescent="0.2">
      <c r="B197" s="190"/>
      <c r="C197" s="103"/>
      <c r="D197" s="103"/>
      <c r="E197" s="103"/>
      <c r="F197" s="103"/>
      <c r="G197" s="103"/>
      <c r="H197" s="103"/>
      <c r="I197" s="103"/>
      <c r="J197" s="103"/>
      <c r="K197" s="103"/>
      <c r="L197" s="103"/>
      <c r="M197" s="103"/>
      <c r="N197" s="103"/>
    </row>
    <row r="198" spans="2:14" x14ac:dyDescent="0.2">
      <c r="B198" s="190"/>
      <c r="C198" s="103"/>
      <c r="D198" s="103"/>
      <c r="E198" s="103"/>
      <c r="F198" s="103"/>
      <c r="G198" s="103"/>
      <c r="H198" s="103"/>
      <c r="I198" s="103"/>
      <c r="J198" s="103"/>
      <c r="K198" s="103"/>
      <c r="L198" s="103"/>
      <c r="M198" s="103"/>
      <c r="N198" s="103"/>
    </row>
    <row r="199" spans="2:14" x14ac:dyDescent="0.2">
      <c r="B199" s="190"/>
      <c r="C199" s="103"/>
      <c r="D199" s="103"/>
      <c r="E199" s="103"/>
      <c r="F199" s="103"/>
      <c r="G199" s="103"/>
      <c r="H199" s="103"/>
      <c r="I199" s="103"/>
      <c r="J199" s="103"/>
      <c r="K199" s="103"/>
      <c r="L199" s="103"/>
      <c r="M199" s="103"/>
      <c r="N199" s="103"/>
    </row>
    <row r="200" spans="2:14" x14ac:dyDescent="0.2">
      <c r="B200" s="190"/>
      <c r="C200" s="103"/>
      <c r="D200" s="103"/>
      <c r="E200" s="103"/>
      <c r="F200" s="103"/>
      <c r="G200" s="103"/>
      <c r="H200" s="103"/>
      <c r="I200" s="103"/>
      <c r="J200" s="103"/>
      <c r="K200" s="103"/>
      <c r="L200" s="103"/>
      <c r="M200" s="103"/>
      <c r="N200" s="103"/>
    </row>
    <row r="201" spans="2:14" x14ac:dyDescent="0.2">
      <c r="B201" s="190"/>
      <c r="C201" s="103"/>
      <c r="D201" s="103"/>
      <c r="E201" s="103"/>
      <c r="F201" s="103"/>
      <c r="G201" s="103"/>
      <c r="H201" s="103"/>
      <c r="I201" s="103"/>
      <c r="J201" s="103"/>
      <c r="K201" s="103"/>
      <c r="L201" s="103"/>
      <c r="M201" s="103"/>
      <c r="N201" s="103"/>
    </row>
    <row r="202" spans="2:14" x14ac:dyDescent="0.2">
      <c r="B202" s="190"/>
      <c r="C202" s="103"/>
      <c r="D202" s="103"/>
      <c r="E202" s="103"/>
      <c r="F202" s="103"/>
      <c r="G202" s="103"/>
      <c r="H202" s="103"/>
      <c r="I202" s="103"/>
      <c r="J202" s="103"/>
      <c r="K202" s="103"/>
      <c r="L202" s="103"/>
      <c r="M202" s="103"/>
      <c r="N202" s="103"/>
    </row>
    <row r="203" spans="2:14" x14ac:dyDescent="0.2">
      <c r="B203" s="190"/>
      <c r="C203" s="103"/>
      <c r="D203" s="103"/>
      <c r="E203" s="103"/>
      <c r="F203" s="103"/>
      <c r="G203" s="103"/>
      <c r="H203" s="103"/>
      <c r="I203" s="103"/>
      <c r="J203" s="103"/>
      <c r="K203" s="103"/>
      <c r="L203" s="103"/>
      <c r="M203" s="103"/>
      <c r="N203" s="103"/>
    </row>
    <row r="204" spans="2:14" x14ac:dyDescent="0.2">
      <c r="B204" s="190"/>
      <c r="C204" s="103"/>
      <c r="D204" s="103"/>
      <c r="E204" s="103"/>
      <c r="F204" s="103"/>
      <c r="G204" s="103"/>
      <c r="H204" s="103"/>
      <c r="I204" s="103"/>
      <c r="J204" s="103"/>
      <c r="K204" s="103"/>
      <c r="L204" s="103"/>
      <c r="M204" s="103"/>
      <c r="N204" s="103"/>
    </row>
    <row r="205" spans="2:14" x14ac:dyDescent="0.2">
      <c r="B205" s="190"/>
      <c r="C205" s="103"/>
      <c r="D205" s="103"/>
      <c r="E205" s="103"/>
      <c r="F205" s="103"/>
      <c r="G205" s="103"/>
      <c r="H205" s="103"/>
      <c r="I205" s="103"/>
      <c r="J205" s="103"/>
      <c r="K205" s="103"/>
      <c r="L205" s="103"/>
      <c r="M205" s="103"/>
      <c r="N205" s="103"/>
    </row>
    <row r="206" spans="2:14" x14ac:dyDescent="0.2">
      <c r="B206" s="190"/>
      <c r="C206" s="103"/>
      <c r="D206" s="103"/>
      <c r="E206" s="103"/>
      <c r="F206" s="103"/>
      <c r="G206" s="103"/>
      <c r="H206" s="103"/>
      <c r="I206" s="103"/>
      <c r="J206" s="103"/>
      <c r="K206" s="103"/>
      <c r="L206" s="103"/>
      <c r="M206" s="103"/>
      <c r="N206" s="103"/>
    </row>
    <row r="207" spans="2:14" x14ac:dyDescent="0.2">
      <c r="B207" s="190"/>
      <c r="C207" s="103"/>
      <c r="D207" s="103"/>
      <c r="E207" s="103"/>
      <c r="F207" s="103"/>
      <c r="G207" s="103"/>
      <c r="H207" s="103"/>
      <c r="I207" s="103"/>
      <c r="J207" s="103"/>
      <c r="K207" s="103"/>
      <c r="L207" s="103"/>
      <c r="M207" s="103"/>
      <c r="N207" s="103"/>
    </row>
    <row r="208" spans="2:14" x14ac:dyDescent="0.2">
      <c r="B208" s="190"/>
      <c r="C208" s="103"/>
      <c r="D208" s="103"/>
      <c r="E208" s="103"/>
      <c r="F208" s="103"/>
      <c r="G208" s="103"/>
      <c r="H208" s="103"/>
      <c r="I208" s="103"/>
      <c r="J208" s="103"/>
      <c r="K208" s="103"/>
      <c r="L208" s="103"/>
      <c r="M208" s="103"/>
      <c r="N208" s="103"/>
    </row>
    <row r="209" spans="2:14" x14ac:dyDescent="0.2">
      <c r="B209" s="190"/>
      <c r="C209" s="103"/>
      <c r="D209" s="103"/>
      <c r="E209" s="103"/>
      <c r="F209" s="103"/>
      <c r="G209" s="103"/>
      <c r="H209" s="103"/>
      <c r="I209" s="103"/>
      <c r="J209" s="103"/>
      <c r="K209" s="103"/>
      <c r="L209" s="103"/>
      <c r="M209" s="103"/>
      <c r="N209" s="103"/>
    </row>
    <row r="210" spans="2:14" x14ac:dyDescent="0.2">
      <c r="B210" s="190"/>
      <c r="C210" s="103"/>
      <c r="D210" s="103"/>
      <c r="E210" s="103"/>
      <c r="F210" s="103"/>
      <c r="G210" s="103"/>
      <c r="H210" s="103"/>
      <c r="I210" s="103"/>
      <c r="J210" s="103"/>
      <c r="K210" s="103"/>
      <c r="L210" s="103"/>
      <c r="M210" s="103"/>
      <c r="N210" s="103"/>
    </row>
    <row r="211" spans="2:14" x14ac:dyDescent="0.2">
      <c r="B211" s="190"/>
      <c r="C211" s="103"/>
      <c r="D211" s="103"/>
      <c r="E211" s="103"/>
      <c r="F211" s="103"/>
      <c r="G211" s="103"/>
      <c r="H211" s="103"/>
      <c r="I211" s="103"/>
      <c r="J211" s="103"/>
      <c r="K211" s="103"/>
      <c r="L211" s="103"/>
      <c r="M211" s="103"/>
      <c r="N211" s="103"/>
    </row>
    <row r="212" spans="2:14" x14ac:dyDescent="0.2">
      <c r="B212" s="190"/>
      <c r="C212" s="103"/>
      <c r="D212" s="103"/>
      <c r="E212" s="103"/>
      <c r="F212" s="103"/>
      <c r="G212" s="103"/>
      <c r="H212" s="103"/>
      <c r="I212" s="103"/>
      <c r="J212" s="103"/>
      <c r="K212" s="103"/>
      <c r="L212" s="103"/>
      <c r="M212" s="103"/>
      <c r="N212" s="103"/>
    </row>
    <row r="213" spans="2:14" x14ac:dyDescent="0.2">
      <c r="B213" s="190"/>
      <c r="C213" s="103"/>
      <c r="D213" s="103"/>
      <c r="E213" s="103"/>
      <c r="F213" s="103"/>
      <c r="G213" s="103"/>
      <c r="H213" s="103"/>
      <c r="I213" s="103"/>
      <c r="J213" s="103"/>
      <c r="K213" s="103"/>
      <c r="L213" s="103"/>
      <c r="M213" s="103"/>
      <c r="N213" s="103"/>
    </row>
    <row r="214" spans="2:14" x14ac:dyDescent="0.2">
      <c r="B214" s="190"/>
      <c r="C214" s="103"/>
      <c r="D214" s="103"/>
      <c r="E214" s="103"/>
      <c r="F214" s="103"/>
      <c r="G214" s="103"/>
      <c r="H214" s="103"/>
      <c r="I214" s="103"/>
      <c r="J214" s="103"/>
      <c r="K214" s="103"/>
      <c r="L214" s="103"/>
      <c r="M214" s="103"/>
      <c r="N214" s="103"/>
    </row>
    <row r="215" spans="2:14" x14ac:dyDescent="0.2">
      <c r="B215" s="190"/>
      <c r="C215" s="103"/>
      <c r="D215" s="103"/>
      <c r="E215" s="103"/>
      <c r="F215" s="103"/>
      <c r="G215" s="103"/>
      <c r="H215" s="103"/>
      <c r="I215" s="103"/>
      <c r="J215" s="103"/>
      <c r="K215" s="103"/>
      <c r="L215" s="103"/>
      <c r="M215" s="103"/>
      <c r="N215" s="103"/>
    </row>
    <row r="216" spans="2:14" x14ac:dyDescent="0.2">
      <c r="B216" s="190"/>
      <c r="C216" s="103"/>
      <c r="D216" s="103"/>
      <c r="E216" s="103"/>
      <c r="F216" s="103"/>
      <c r="G216" s="103"/>
      <c r="H216" s="103"/>
      <c r="I216" s="103"/>
      <c r="J216" s="103"/>
      <c r="K216" s="103"/>
      <c r="L216" s="103"/>
      <c r="M216" s="103"/>
      <c r="N216" s="103"/>
    </row>
    <row r="217" spans="2:14" x14ac:dyDescent="0.2">
      <c r="B217" s="190"/>
      <c r="C217" s="103"/>
      <c r="D217" s="103"/>
      <c r="E217" s="103"/>
      <c r="F217" s="103"/>
      <c r="G217" s="103"/>
      <c r="H217" s="103"/>
      <c r="I217" s="103"/>
      <c r="J217" s="103"/>
      <c r="K217" s="103"/>
      <c r="L217" s="103"/>
      <c r="M217" s="103"/>
      <c r="N217" s="103"/>
    </row>
    <row r="218" spans="2:14" x14ac:dyDescent="0.2">
      <c r="B218" s="190"/>
      <c r="C218" s="103"/>
      <c r="D218" s="103"/>
      <c r="E218" s="103"/>
      <c r="F218" s="103"/>
      <c r="G218" s="103"/>
      <c r="H218" s="103"/>
      <c r="I218" s="103"/>
      <c r="J218" s="103"/>
      <c r="K218" s="103"/>
      <c r="L218" s="103"/>
      <c r="M218" s="103"/>
      <c r="N218" s="103"/>
    </row>
    <row r="219" spans="2:14" x14ac:dyDescent="0.2">
      <c r="B219" s="190"/>
      <c r="C219" s="103"/>
      <c r="D219" s="103"/>
      <c r="E219" s="103"/>
      <c r="F219" s="103"/>
      <c r="G219" s="103"/>
      <c r="H219" s="103"/>
      <c r="I219" s="103"/>
      <c r="J219" s="103"/>
      <c r="K219" s="103"/>
      <c r="L219" s="103"/>
      <c r="M219" s="103"/>
      <c r="N219" s="103"/>
    </row>
    <row r="220" spans="2:14" x14ac:dyDescent="0.2">
      <c r="B220" s="190"/>
      <c r="C220" s="103"/>
      <c r="D220" s="103"/>
      <c r="E220" s="103"/>
      <c r="F220" s="103"/>
      <c r="G220" s="103"/>
      <c r="H220" s="103"/>
      <c r="I220" s="103"/>
      <c r="J220" s="103"/>
      <c r="K220" s="103"/>
      <c r="L220" s="103"/>
      <c r="M220" s="103"/>
      <c r="N220" s="103"/>
    </row>
    <row r="221" spans="2:14" x14ac:dyDescent="0.2">
      <c r="B221" s="190"/>
      <c r="C221" s="103"/>
      <c r="D221" s="103"/>
      <c r="E221" s="103"/>
      <c r="F221" s="103"/>
      <c r="G221" s="103"/>
      <c r="H221" s="103"/>
      <c r="I221" s="103"/>
      <c r="J221" s="103"/>
      <c r="K221" s="103"/>
      <c r="L221" s="103"/>
      <c r="M221" s="103"/>
      <c r="N221" s="103"/>
    </row>
    <row r="222" spans="2:14" x14ac:dyDescent="0.2">
      <c r="B222" s="190"/>
      <c r="C222" s="103"/>
      <c r="D222" s="103"/>
      <c r="E222" s="103"/>
      <c r="F222" s="103"/>
      <c r="G222" s="103"/>
      <c r="H222" s="103"/>
      <c r="I222" s="103"/>
      <c r="J222" s="103"/>
      <c r="K222" s="103"/>
      <c r="L222" s="103"/>
      <c r="M222" s="103"/>
      <c r="N222" s="103"/>
    </row>
    <row r="223" spans="2:14" x14ac:dyDescent="0.2">
      <c r="B223" s="190"/>
      <c r="C223" s="103"/>
      <c r="D223" s="103"/>
      <c r="E223" s="103"/>
      <c r="F223" s="103"/>
      <c r="G223" s="103"/>
      <c r="H223" s="103"/>
      <c r="I223" s="103"/>
      <c r="J223" s="103"/>
      <c r="K223" s="103"/>
      <c r="L223" s="103"/>
      <c r="M223" s="103"/>
      <c r="N223" s="103"/>
    </row>
    <row r="224" spans="2:14" x14ac:dyDescent="0.2">
      <c r="B224" s="190"/>
      <c r="C224" s="103"/>
      <c r="D224" s="103"/>
      <c r="E224" s="103"/>
      <c r="F224" s="103"/>
      <c r="G224" s="103"/>
      <c r="H224" s="103"/>
      <c r="I224" s="103"/>
      <c r="J224" s="103"/>
      <c r="K224" s="103"/>
      <c r="L224" s="103"/>
      <c r="M224" s="103"/>
      <c r="N224" s="103"/>
    </row>
    <row r="225" spans="2:14" x14ac:dyDescent="0.2">
      <c r="B225" s="190"/>
      <c r="C225" s="103"/>
      <c r="D225" s="103"/>
      <c r="E225" s="103"/>
      <c r="F225" s="103"/>
      <c r="G225" s="103"/>
      <c r="H225" s="103"/>
      <c r="I225" s="103"/>
      <c r="J225" s="103"/>
      <c r="K225" s="103"/>
      <c r="L225" s="103"/>
      <c r="M225" s="103"/>
      <c r="N225" s="103"/>
    </row>
    <row r="226" spans="2:14" x14ac:dyDescent="0.2">
      <c r="B226" s="190"/>
      <c r="C226" s="103"/>
      <c r="D226" s="103"/>
      <c r="E226" s="103"/>
      <c r="F226" s="103"/>
      <c r="G226" s="103"/>
      <c r="H226" s="103"/>
      <c r="I226" s="103"/>
      <c r="J226" s="103"/>
      <c r="K226" s="103"/>
      <c r="L226" s="103"/>
      <c r="M226" s="103"/>
      <c r="N226" s="103"/>
    </row>
    <row r="227" spans="2:14" x14ac:dyDescent="0.2">
      <c r="B227" s="190"/>
      <c r="C227" s="103"/>
      <c r="D227" s="103"/>
      <c r="E227" s="103"/>
      <c r="F227" s="103"/>
      <c r="G227" s="103"/>
      <c r="H227" s="103"/>
      <c r="I227" s="103"/>
      <c r="J227" s="103"/>
      <c r="K227" s="103"/>
      <c r="L227" s="103"/>
      <c r="M227" s="103"/>
      <c r="N227" s="103"/>
    </row>
    <row r="228" spans="2:14" x14ac:dyDescent="0.2">
      <c r="B228" s="190"/>
      <c r="C228" s="103"/>
      <c r="D228" s="103"/>
      <c r="E228" s="103"/>
      <c r="F228" s="103"/>
      <c r="G228" s="103"/>
      <c r="H228" s="103"/>
      <c r="I228" s="103"/>
      <c r="J228" s="103"/>
      <c r="K228" s="103"/>
      <c r="L228" s="103"/>
      <c r="M228" s="103"/>
      <c r="N228" s="103"/>
    </row>
    <row r="229" spans="2:14" x14ac:dyDescent="0.2">
      <c r="B229" s="190"/>
      <c r="C229" s="103"/>
      <c r="D229" s="103"/>
      <c r="E229" s="103"/>
      <c r="F229" s="103"/>
      <c r="G229" s="103"/>
      <c r="H229" s="103"/>
      <c r="I229" s="103"/>
      <c r="J229" s="103"/>
      <c r="K229" s="103"/>
      <c r="L229" s="103"/>
      <c r="M229" s="103"/>
      <c r="N229" s="103"/>
    </row>
    <row r="230" spans="2:14" x14ac:dyDescent="0.2">
      <c r="B230" s="190"/>
      <c r="C230" s="103"/>
      <c r="D230" s="103"/>
      <c r="E230" s="103"/>
      <c r="F230" s="103"/>
      <c r="G230" s="103"/>
      <c r="H230" s="103"/>
      <c r="I230" s="103"/>
      <c r="J230" s="103"/>
      <c r="K230" s="103"/>
      <c r="L230" s="103"/>
      <c r="M230" s="103"/>
      <c r="N230" s="103"/>
    </row>
    <row r="231" spans="2:14" x14ac:dyDescent="0.2">
      <c r="B231" s="190"/>
      <c r="C231" s="103"/>
      <c r="D231" s="103"/>
      <c r="E231" s="103"/>
      <c r="F231" s="103"/>
      <c r="G231" s="103"/>
      <c r="H231" s="103"/>
      <c r="I231" s="103"/>
      <c r="J231" s="103"/>
      <c r="K231" s="103"/>
      <c r="L231" s="103"/>
      <c r="M231" s="103"/>
      <c r="N231" s="103"/>
    </row>
    <row r="232" spans="2:14" x14ac:dyDescent="0.2">
      <c r="B232" s="190"/>
      <c r="C232" s="103"/>
      <c r="D232" s="103"/>
      <c r="E232" s="103"/>
      <c r="F232" s="103"/>
      <c r="G232" s="103"/>
      <c r="H232" s="103"/>
      <c r="I232" s="103"/>
      <c r="J232" s="103"/>
      <c r="K232" s="103"/>
      <c r="L232" s="103"/>
      <c r="M232" s="103"/>
      <c r="N232" s="103"/>
    </row>
    <row r="233" spans="2:14" x14ac:dyDescent="0.2">
      <c r="B233" s="190"/>
      <c r="C233" s="103"/>
      <c r="D233" s="103"/>
      <c r="E233" s="103"/>
      <c r="F233" s="103"/>
      <c r="G233" s="103"/>
      <c r="H233" s="103"/>
      <c r="I233" s="103"/>
      <c r="J233" s="103"/>
      <c r="K233" s="103"/>
      <c r="L233" s="103"/>
      <c r="M233" s="103"/>
      <c r="N233" s="103"/>
    </row>
    <row r="234" spans="2:14" x14ac:dyDescent="0.2">
      <c r="B234" s="190"/>
      <c r="C234" s="103"/>
      <c r="D234" s="103"/>
      <c r="E234" s="103"/>
      <c r="F234" s="103"/>
      <c r="G234" s="103"/>
      <c r="H234" s="103"/>
      <c r="I234" s="103"/>
      <c r="J234" s="103"/>
      <c r="K234" s="103"/>
      <c r="L234" s="103"/>
      <c r="M234" s="103"/>
      <c r="N234" s="103"/>
    </row>
    <row r="235" spans="2:14" x14ac:dyDescent="0.2">
      <c r="B235" s="190"/>
      <c r="C235" s="103"/>
      <c r="D235" s="103"/>
      <c r="E235" s="103"/>
      <c r="F235" s="103"/>
      <c r="G235" s="103"/>
      <c r="H235" s="103"/>
      <c r="I235" s="103"/>
      <c r="J235" s="103"/>
      <c r="K235" s="103"/>
      <c r="L235" s="103"/>
      <c r="M235" s="103"/>
      <c r="N235" s="103"/>
    </row>
    <row r="236" spans="2:14" x14ac:dyDescent="0.2">
      <c r="B236" s="190"/>
      <c r="C236" s="103"/>
      <c r="D236" s="103"/>
      <c r="E236" s="103"/>
      <c r="F236" s="103"/>
      <c r="G236" s="103"/>
      <c r="H236" s="103"/>
      <c r="I236" s="103"/>
      <c r="J236" s="103"/>
      <c r="K236" s="103"/>
      <c r="L236" s="103"/>
      <c r="M236" s="103"/>
      <c r="N236" s="103"/>
    </row>
    <row r="237" spans="2:14" x14ac:dyDescent="0.2">
      <c r="B237" s="190"/>
      <c r="C237" s="103"/>
      <c r="D237" s="103"/>
      <c r="E237" s="103"/>
      <c r="F237" s="103"/>
      <c r="G237" s="103"/>
      <c r="H237" s="103"/>
      <c r="I237" s="103"/>
      <c r="J237" s="103"/>
      <c r="K237" s="103"/>
      <c r="L237" s="103"/>
      <c r="M237" s="103"/>
      <c r="N237" s="103"/>
    </row>
    <row r="238" spans="2:14" x14ac:dyDescent="0.2">
      <c r="B238" s="190"/>
      <c r="C238" s="103"/>
      <c r="D238" s="103"/>
      <c r="E238" s="103"/>
      <c r="F238" s="103"/>
      <c r="G238" s="103"/>
      <c r="H238" s="103"/>
      <c r="I238" s="103"/>
      <c r="J238" s="103"/>
      <c r="K238" s="103"/>
      <c r="L238" s="103"/>
      <c r="M238" s="103"/>
      <c r="N238" s="103"/>
    </row>
    <row r="239" spans="2:14" x14ac:dyDescent="0.2">
      <c r="B239" s="190"/>
      <c r="C239" s="103"/>
      <c r="D239" s="103"/>
      <c r="E239" s="103"/>
      <c r="F239" s="103"/>
      <c r="G239" s="103"/>
      <c r="H239" s="103"/>
      <c r="I239" s="103"/>
      <c r="J239" s="103"/>
      <c r="K239" s="103"/>
      <c r="L239" s="103"/>
      <c r="M239" s="103"/>
      <c r="N239" s="103"/>
    </row>
    <row r="240" spans="2:14" x14ac:dyDescent="0.2">
      <c r="B240" s="190"/>
      <c r="C240" s="103"/>
      <c r="D240" s="103"/>
      <c r="E240" s="103"/>
      <c r="F240" s="103"/>
      <c r="G240" s="103"/>
      <c r="H240" s="103"/>
      <c r="I240" s="103"/>
      <c r="J240" s="103"/>
      <c r="K240" s="103"/>
      <c r="L240" s="103"/>
      <c r="M240" s="103"/>
      <c r="N240" s="103"/>
    </row>
    <row r="241" spans="2:14" x14ac:dyDescent="0.2">
      <c r="B241" s="190"/>
      <c r="C241" s="103"/>
      <c r="D241" s="103"/>
      <c r="E241" s="103"/>
      <c r="F241" s="103"/>
      <c r="G241" s="103"/>
      <c r="H241" s="103"/>
      <c r="I241" s="103"/>
      <c r="J241" s="103"/>
      <c r="K241" s="103"/>
      <c r="L241" s="103"/>
      <c r="M241" s="103"/>
      <c r="N241" s="103"/>
    </row>
    <row r="242" spans="2:14" x14ac:dyDescent="0.2">
      <c r="B242" s="190"/>
      <c r="C242" s="103"/>
      <c r="D242" s="103"/>
      <c r="E242" s="103"/>
      <c r="F242" s="103"/>
      <c r="G242" s="103"/>
      <c r="H242" s="103"/>
      <c r="I242" s="103"/>
      <c r="J242" s="103"/>
      <c r="K242" s="103"/>
      <c r="L242" s="103"/>
      <c r="M242" s="103"/>
      <c r="N242" s="103"/>
    </row>
    <row r="243" spans="2:14" x14ac:dyDescent="0.2">
      <c r="B243" s="190"/>
      <c r="C243" s="103"/>
      <c r="D243" s="103"/>
      <c r="E243" s="103"/>
      <c r="F243" s="103"/>
      <c r="G243" s="103"/>
      <c r="H243" s="103"/>
      <c r="I243" s="103"/>
      <c r="J243" s="103"/>
      <c r="K243" s="103"/>
      <c r="L243" s="103"/>
      <c r="M243" s="103"/>
      <c r="N243" s="103"/>
    </row>
    <row r="244" spans="2:14" x14ac:dyDescent="0.2">
      <c r="B244" s="190"/>
      <c r="C244" s="103"/>
      <c r="D244" s="103"/>
      <c r="E244" s="103"/>
      <c r="F244" s="103"/>
      <c r="G244" s="103"/>
      <c r="H244" s="103"/>
      <c r="I244" s="103"/>
      <c r="J244" s="103"/>
      <c r="K244" s="103"/>
      <c r="L244" s="103"/>
      <c r="M244" s="103"/>
      <c r="N244" s="103"/>
    </row>
    <row r="245" spans="2:14" x14ac:dyDescent="0.2">
      <c r="B245" s="190"/>
      <c r="C245" s="103"/>
      <c r="D245" s="103"/>
      <c r="E245" s="103"/>
      <c r="F245" s="103"/>
      <c r="G245" s="103"/>
      <c r="H245" s="103"/>
      <c r="I245" s="103"/>
      <c r="J245" s="103"/>
      <c r="K245" s="103"/>
      <c r="L245" s="103"/>
      <c r="M245" s="103"/>
      <c r="N245" s="103"/>
    </row>
    <row r="246" spans="2:14" x14ac:dyDescent="0.2">
      <c r="B246" s="190"/>
      <c r="C246" s="103"/>
      <c r="D246" s="103"/>
      <c r="E246" s="103"/>
      <c r="F246" s="103"/>
      <c r="G246" s="103"/>
      <c r="H246" s="103"/>
      <c r="I246" s="103"/>
      <c r="J246" s="103"/>
      <c r="K246" s="103"/>
      <c r="L246" s="103"/>
      <c r="M246" s="103"/>
      <c r="N246" s="103"/>
    </row>
    <row r="247" spans="2:14" x14ac:dyDescent="0.2">
      <c r="B247" s="190"/>
      <c r="C247" s="103"/>
      <c r="D247" s="103"/>
      <c r="E247" s="103"/>
      <c r="F247" s="103"/>
      <c r="G247" s="103"/>
      <c r="H247" s="103"/>
      <c r="I247" s="103"/>
      <c r="J247" s="103"/>
      <c r="K247" s="103"/>
      <c r="L247" s="103"/>
      <c r="M247" s="103"/>
      <c r="N247" s="103"/>
    </row>
    <row r="248" spans="2:14" x14ac:dyDescent="0.2">
      <c r="B248" s="190"/>
      <c r="C248" s="103"/>
      <c r="D248" s="103"/>
      <c r="E248" s="103"/>
      <c r="F248" s="103"/>
      <c r="G248" s="103"/>
      <c r="H248" s="103"/>
      <c r="I248" s="103"/>
      <c r="J248" s="103"/>
      <c r="K248" s="103"/>
      <c r="L248" s="103"/>
      <c r="M248" s="103"/>
      <c r="N248" s="103"/>
    </row>
    <row r="249" spans="2:14" x14ac:dyDescent="0.2">
      <c r="B249" s="190"/>
      <c r="C249" s="103"/>
      <c r="D249" s="103"/>
      <c r="E249" s="103"/>
      <c r="F249" s="103"/>
      <c r="G249" s="103"/>
      <c r="H249" s="103"/>
      <c r="I249" s="103"/>
      <c r="J249" s="103"/>
      <c r="K249" s="103"/>
      <c r="L249" s="103"/>
      <c r="M249" s="103"/>
      <c r="N249" s="103"/>
    </row>
    <row r="250" spans="2:14" x14ac:dyDescent="0.2">
      <c r="B250" s="190"/>
      <c r="C250" s="103"/>
      <c r="D250" s="103"/>
      <c r="E250" s="103"/>
      <c r="F250" s="103"/>
      <c r="G250" s="103"/>
      <c r="H250" s="103"/>
      <c r="I250" s="103"/>
      <c r="J250" s="103"/>
      <c r="K250" s="103"/>
      <c r="L250" s="103"/>
      <c r="M250" s="103"/>
      <c r="N250" s="103"/>
    </row>
    <row r="251" spans="2:14" x14ac:dyDescent="0.2">
      <c r="B251" s="190"/>
      <c r="C251" s="103"/>
      <c r="D251" s="103"/>
      <c r="E251" s="103"/>
      <c r="F251" s="103"/>
      <c r="G251" s="103"/>
      <c r="H251" s="103"/>
      <c r="I251" s="103"/>
      <c r="J251" s="103"/>
      <c r="K251" s="103"/>
      <c r="L251" s="103"/>
      <c r="M251" s="103"/>
      <c r="N251" s="103"/>
    </row>
    <row r="252" spans="2:14" x14ac:dyDescent="0.2">
      <c r="B252" s="190"/>
      <c r="C252" s="103"/>
      <c r="D252" s="103"/>
      <c r="E252" s="103"/>
      <c r="F252" s="103"/>
      <c r="G252" s="103"/>
      <c r="H252" s="103"/>
      <c r="I252" s="103"/>
      <c r="J252" s="103"/>
      <c r="K252" s="103"/>
      <c r="L252" s="103"/>
      <c r="M252" s="103"/>
      <c r="N252" s="103"/>
    </row>
    <row r="253" spans="2:14" x14ac:dyDescent="0.2">
      <c r="B253" s="190"/>
      <c r="C253" s="103"/>
      <c r="D253" s="103"/>
      <c r="E253" s="103"/>
      <c r="F253" s="103"/>
      <c r="G253" s="103"/>
      <c r="H253" s="103"/>
      <c r="I253" s="103"/>
      <c r="J253" s="103"/>
      <c r="K253" s="103"/>
      <c r="L253" s="103"/>
      <c r="M253" s="103"/>
      <c r="N253" s="103"/>
    </row>
    <row r="254" spans="2:14" x14ac:dyDescent="0.2">
      <c r="B254" s="190"/>
      <c r="C254" s="103"/>
      <c r="D254" s="103"/>
      <c r="E254" s="103"/>
      <c r="F254" s="103"/>
      <c r="G254" s="103"/>
      <c r="H254" s="103"/>
      <c r="I254" s="103"/>
      <c r="J254" s="103"/>
      <c r="K254" s="103"/>
      <c r="L254" s="103"/>
      <c r="M254" s="103"/>
      <c r="N254" s="103"/>
    </row>
    <row r="255" spans="2:14" x14ac:dyDescent="0.2">
      <c r="B255" s="190"/>
      <c r="C255" s="103"/>
      <c r="D255" s="103"/>
      <c r="E255" s="103"/>
      <c r="F255" s="103"/>
      <c r="G255" s="103"/>
      <c r="H255" s="103"/>
      <c r="I255" s="103"/>
      <c r="J255" s="103"/>
      <c r="K255" s="103"/>
      <c r="L255" s="103"/>
      <c r="M255" s="103"/>
      <c r="N255" s="103"/>
    </row>
    <row r="256" spans="2:14" x14ac:dyDescent="0.2">
      <c r="B256" s="190"/>
      <c r="C256" s="103"/>
      <c r="D256" s="103"/>
      <c r="E256" s="103"/>
      <c r="F256" s="103"/>
      <c r="G256" s="103"/>
      <c r="H256" s="103"/>
      <c r="I256" s="103"/>
      <c r="J256" s="103"/>
      <c r="K256" s="103"/>
      <c r="L256" s="103"/>
      <c r="M256" s="103"/>
      <c r="N256" s="103"/>
    </row>
    <row r="257" spans="2:14" x14ac:dyDescent="0.2">
      <c r="B257" s="190"/>
      <c r="C257" s="103"/>
      <c r="D257" s="103"/>
      <c r="E257" s="103"/>
      <c r="F257" s="103"/>
      <c r="G257" s="103"/>
      <c r="H257" s="103"/>
      <c r="I257" s="103"/>
      <c r="J257" s="103"/>
      <c r="K257" s="103"/>
      <c r="L257" s="103"/>
      <c r="M257" s="103"/>
      <c r="N257" s="103"/>
    </row>
    <row r="258" spans="2:14" x14ac:dyDescent="0.2">
      <c r="B258" s="190"/>
      <c r="C258" s="103"/>
      <c r="D258" s="103"/>
      <c r="E258" s="103"/>
      <c r="F258" s="103"/>
      <c r="G258" s="103"/>
      <c r="H258" s="103"/>
      <c r="I258" s="103"/>
      <c r="J258" s="103"/>
      <c r="K258" s="103"/>
      <c r="L258" s="103"/>
      <c r="M258" s="103"/>
      <c r="N258" s="103"/>
    </row>
    <row r="259" spans="2:14" x14ac:dyDescent="0.2">
      <c r="B259" s="190"/>
      <c r="C259" s="103"/>
      <c r="D259" s="103"/>
      <c r="E259" s="103"/>
      <c r="F259" s="103"/>
      <c r="G259" s="103"/>
      <c r="H259" s="103"/>
      <c r="I259" s="103"/>
      <c r="J259" s="103"/>
      <c r="K259" s="103"/>
      <c r="L259" s="103"/>
      <c r="M259" s="103"/>
      <c r="N259" s="103"/>
    </row>
    <row r="260" spans="2:14" x14ac:dyDescent="0.2">
      <c r="B260" s="190"/>
      <c r="C260" s="103"/>
      <c r="D260" s="103"/>
      <c r="E260" s="103"/>
      <c r="F260" s="103"/>
      <c r="G260" s="103"/>
      <c r="H260" s="103"/>
      <c r="I260" s="103"/>
      <c r="J260" s="103"/>
      <c r="K260" s="103"/>
      <c r="L260" s="103"/>
      <c r="M260" s="103"/>
      <c r="N260" s="103"/>
    </row>
    <row r="261" spans="2:14" x14ac:dyDescent="0.2">
      <c r="B261" s="190"/>
      <c r="C261" s="103"/>
      <c r="D261" s="103"/>
      <c r="E261" s="103"/>
      <c r="F261" s="103"/>
      <c r="G261" s="103"/>
      <c r="H261" s="103"/>
      <c r="I261" s="103"/>
      <c r="J261" s="103"/>
      <c r="K261" s="103"/>
      <c r="L261" s="103"/>
      <c r="M261" s="103"/>
      <c r="N261" s="103"/>
    </row>
    <row r="262" spans="2:14" x14ac:dyDescent="0.2">
      <c r="B262" s="190"/>
      <c r="C262" s="103"/>
      <c r="D262" s="103"/>
      <c r="E262" s="103"/>
      <c r="F262" s="103"/>
      <c r="G262" s="103"/>
      <c r="H262" s="103"/>
      <c r="I262" s="103"/>
      <c r="J262" s="103"/>
      <c r="K262" s="103"/>
      <c r="L262" s="103"/>
      <c r="M262" s="103"/>
      <c r="N262" s="103"/>
    </row>
    <row r="263" spans="2:14" x14ac:dyDescent="0.2">
      <c r="B263" s="190"/>
      <c r="C263" s="103"/>
      <c r="D263" s="103"/>
      <c r="E263" s="103"/>
      <c r="F263" s="103"/>
      <c r="G263" s="103"/>
      <c r="H263" s="103"/>
      <c r="I263" s="103"/>
      <c r="J263" s="103"/>
      <c r="K263" s="103"/>
      <c r="L263" s="103"/>
      <c r="M263" s="103"/>
      <c r="N263" s="103"/>
    </row>
    <row r="264" spans="2:14" x14ac:dyDescent="0.2">
      <c r="B264" s="190"/>
      <c r="C264" s="103"/>
      <c r="D264" s="103"/>
      <c r="E264" s="103"/>
      <c r="F264" s="103"/>
      <c r="G264" s="103"/>
      <c r="H264" s="103"/>
      <c r="I264" s="103"/>
      <c r="J264" s="103"/>
      <c r="K264" s="103"/>
      <c r="L264" s="103"/>
      <c r="M264" s="103"/>
      <c r="N264" s="103"/>
    </row>
    <row r="265" spans="2:14" x14ac:dyDescent="0.2">
      <c r="B265" s="190"/>
      <c r="C265" s="103"/>
      <c r="D265" s="103"/>
      <c r="E265" s="103"/>
      <c r="F265" s="103"/>
      <c r="G265" s="103"/>
      <c r="H265" s="103"/>
      <c r="I265" s="103"/>
      <c r="J265" s="103"/>
      <c r="K265" s="103"/>
      <c r="L265" s="103"/>
      <c r="M265" s="103"/>
      <c r="N265" s="103"/>
    </row>
    <row r="266" spans="2:14" x14ac:dyDescent="0.2">
      <c r="B266" s="190"/>
      <c r="C266" s="103"/>
      <c r="D266" s="103"/>
      <c r="E266" s="103"/>
      <c r="F266" s="103"/>
      <c r="G266" s="103"/>
      <c r="H266" s="103"/>
      <c r="I266" s="103"/>
      <c r="J266" s="103"/>
      <c r="K266" s="103"/>
      <c r="L266" s="103"/>
      <c r="M266" s="103"/>
      <c r="N266" s="103"/>
    </row>
    <row r="267" spans="2:14" x14ac:dyDescent="0.2">
      <c r="B267" s="190"/>
      <c r="C267" s="103"/>
      <c r="D267" s="103"/>
      <c r="E267" s="103"/>
      <c r="F267" s="103"/>
      <c r="G267" s="103"/>
      <c r="H267" s="103"/>
      <c r="I267" s="103"/>
      <c r="J267" s="103"/>
      <c r="K267" s="103"/>
      <c r="L267" s="103"/>
      <c r="M267" s="103"/>
      <c r="N267" s="103"/>
    </row>
    <row r="268" spans="2:14" x14ac:dyDescent="0.2">
      <c r="B268" s="190"/>
      <c r="C268" s="103"/>
      <c r="D268" s="103"/>
      <c r="E268" s="103"/>
      <c r="F268" s="103"/>
      <c r="G268" s="103"/>
      <c r="H268" s="103"/>
      <c r="I268" s="103"/>
      <c r="J268" s="103"/>
      <c r="K268" s="103"/>
      <c r="L268" s="103"/>
      <c r="M268" s="103"/>
      <c r="N268" s="103"/>
    </row>
    <row r="269" spans="2:14" x14ac:dyDescent="0.2">
      <c r="B269" s="190"/>
      <c r="C269" s="103"/>
      <c r="D269" s="103"/>
      <c r="E269" s="103"/>
      <c r="F269" s="103"/>
      <c r="G269" s="103"/>
      <c r="H269" s="103"/>
      <c r="I269" s="103"/>
      <c r="J269" s="103"/>
      <c r="K269" s="103"/>
      <c r="L269" s="103"/>
      <c r="M269" s="103"/>
      <c r="N269" s="103"/>
    </row>
    <row r="270" spans="2:14" x14ac:dyDescent="0.2">
      <c r="B270" s="190"/>
      <c r="C270" s="103"/>
      <c r="D270" s="103"/>
      <c r="E270" s="103"/>
      <c r="F270" s="103"/>
      <c r="G270" s="103"/>
      <c r="H270" s="103"/>
      <c r="I270" s="103"/>
      <c r="J270" s="103"/>
      <c r="K270" s="103"/>
      <c r="L270" s="103"/>
      <c r="M270" s="103"/>
      <c r="N270" s="103"/>
    </row>
    <row r="271" spans="2:14" x14ac:dyDescent="0.2">
      <c r="B271" s="190"/>
      <c r="C271" s="103"/>
      <c r="D271" s="103"/>
      <c r="E271" s="103"/>
      <c r="F271" s="103"/>
      <c r="G271" s="103"/>
      <c r="H271" s="103"/>
      <c r="I271" s="103"/>
      <c r="J271" s="103"/>
      <c r="K271" s="103"/>
      <c r="L271" s="103"/>
      <c r="M271" s="103"/>
      <c r="N271" s="103"/>
    </row>
    <row r="272" spans="2:14" x14ac:dyDescent="0.2">
      <c r="B272" s="190"/>
      <c r="C272" s="103"/>
      <c r="D272" s="103"/>
      <c r="E272" s="103"/>
      <c r="F272" s="103"/>
      <c r="G272" s="103"/>
      <c r="H272" s="103"/>
      <c r="I272" s="103"/>
      <c r="J272" s="103"/>
      <c r="K272" s="103"/>
      <c r="L272" s="103"/>
      <c r="M272" s="103"/>
      <c r="N272" s="103"/>
    </row>
    <row r="273" spans="2:14" x14ac:dyDescent="0.2">
      <c r="B273" s="190"/>
      <c r="C273" s="103"/>
      <c r="D273" s="103"/>
      <c r="E273" s="103"/>
      <c r="F273" s="103"/>
      <c r="G273" s="103"/>
      <c r="H273" s="103"/>
      <c r="I273" s="103"/>
      <c r="J273" s="103"/>
      <c r="K273" s="103"/>
      <c r="L273" s="103"/>
      <c r="M273" s="103"/>
      <c r="N273" s="103"/>
    </row>
  </sheetData>
  <sheetProtection password="EECE" sheet="1" objects="1" scenarios="1" formatCells="0" formatColumns="0" formatRows="0"/>
  <customSheetViews>
    <customSheetView guid="{C3088B2E-F853-4D7E-B687-C6500891DFCB}" scale="110" showPageBreaks="1" fitToPage="1" printArea="1">
      <pane xSplit="3" ySplit="6" topLeftCell="D7" activePane="bottomRight" state="frozen"/>
      <selection pane="bottomRight"/>
      <pageMargins left="0.47244094488188998" right="0.47244094488188998" top="0.59055118110236204" bottom="0.59055118110236204" header="0.39370078740157499" footer="0.39370078740157499"/>
      <pageSetup scale="81" fitToHeight="0" orientation="landscape" r:id="rId1"/>
      <headerFooter alignWithMargins="0">
        <oddFooter>&amp;L&amp;8&amp;D  &amp;T&amp;R&amp;8March 2014, Version 0.2</oddFooter>
      </headerFooter>
    </customSheetView>
    <customSheetView guid="{F866C9B2-56BF-4FE4-B270-CC8FE15A5892}" scale="110" showPageBreaks="1" fitToPage="1" printArea="1">
      <pane xSplit="2" ySplit="6" topLeftCell="D7" activePane="bottomRight" state="frozen"/>
      <selection pane="bottomRight"/>
      <pageMargins left="0.47244094488188998" right="0.47244094488188998" top="0.59055118110236204" bottom="0.59055118110236204" header="0.39370078740157499" footer="0.39370078740157499"/>
      <pageSetup scale="80" fitToHeight="0" orientation="landscape" r:id="rId2"/>
      <headerFooter alignWithMargins="0">
        <oddFooter>&amp;L&amp;8&amp;D  &amp;T&amp;R&amp;8March 2014, Version 0.2</oddFooter>
      </headerFooter>
    </customSheetView>
    <customSheetView guid="{D66484CB-9D53-43A1-A83D-11534BC40BF6}" scale="110" showPageBreaks="1" fitToPage="1" printArea="1">
      <pane xSplit="3" ySplit="6" topLeftCell="D7" activePane="bottomRight" state="frozen"/>
      <selection pane="bottomRight" activeCell="B34" sqref="B34"/>
      <pageMargins left="0.47244094488188998" right="0.47244094488188998" top="0.59055118110236204" bottom="0.59055118110236204" header="0.39370078740157499" footer="0.39370078740157499"/>
      <pageSetup scale="80" fitToHeight="0" orientation="landscape" r:id="rId3"/>
      <headerFooter alignWithMargins="0">
        <oddFooter>&amp;L&amp;8&amp;D  &amp;T&amp;R&amp;8March 2014, Version 0.2</oddFooter>
      </headerFooter>
    </customSheetView>
  </customSheetViews>
  <mergeCells count="12">
    <mergeCell ref="G1:M1"/>
    <mergeCell ref="B4:C5"/>
    <mergeCell ref="E4:H4"/>
    <mergeCell ref="I4:I5"/>
    <mergeCell ref="K4:K5"/>
    <mergeCell ref="F2:N2"/>
    <mergeCell ref="P4:Q4"/>
    <mergeCell ref="N3:N5"/>
    <mergeCell ref="G3:H3"/>
    <mergeCell ref="L4:L5"/>
    <mergeCell ref="M4:M5"/>
    <mergeCell ref="J4:J5"/>
  </mergeCells>
  <conditionalFormatting sqref="P8:Q41">
    <cfRule type="cellIs" dxfId="20" priority="9" operator="between">
      <formula>-0.1</formula>
      <formula>0.1</formula>
    </cfRule>
    <cfRule type="containsText" dxfId="19" priority="12" operator="containsText" text="NA">
      <formula>NOT(ISERROR(SEARCH("NA",P8)))</formula>
    </cfRule>
    <cfRule type="containsText" dxfId="18" priority="19" operator="containsText" text="NV">
      <formula>NOT(ISERROR(SEARCH("NV",P8)))</formula>
    </cfRule>
    <cfRule type="cellIs" dxfId="17" priority="23" operator="lessThan">
      <formula>-0.1</formula>
    </cfRule>
    <cfRule type="cellIs" dxfId="16" priority="24" operator="greaterThan">
      <formula>0.1</formula>
    </cfRule>
  </conditionalFormatting>
  <conditionalFormatting sqref="E90:N91 E94:N107 E92:F93 M92:N93">
    <cfRule type="containsText" dxfId="15" priority="17" operator="containsText" text="Vérifier">
      <formula>NOT(ISERROR(SEARCH("Vérifier",E90)))</formula>
    </cfRule>
  </conditionalFormatting>
  <conditionalFormatting sqref="E53:N89">
    <cfRule type="containsText" dxfId="14" priority="11" operator="containsText" text="NA">
      <formula>NOT(ISERROR(SEARCH("NA",E53)))</formula>
    </cfRule>
  </conditionalFormatting>
  <conditionalFormatting sqref="G94:G106 L94:L106">
    <cfRule type="containsText" dxfId="13" priority="10" operator="containsText" text="Oui">
      <formula>NOT(ISERROR(SEARCH("Oui",G94)))</formula>
    </cfRule>
  </conditionalFormatting>
  <conditionalFormatting sqref="E45:N81">
    <cfRule type="cellIs" dxfId="12" priority="6" operator="between">
      <formula>-0.1</formula>
      <formula>0.1</formula>
    </cfRule>
    <cfRule type="cellIs" dxfId="11" priority="7" operator="lessThan">
      <formula>-0.1</formula>
    </cfRule>
    <cfRule type="cellIs" dxfId="10" priority="8" operator="greaterThan">
      <formula>0.1</formula>
    </cfRule>
  </conditionalFormatting>
  <conditionalFormatting sqref="E45:N81">
    <cfRule type="containsText" dxfId="9" priority="5" operator="containsText" text="NA">
      <formula>NOT(ISERROR(SEARCH("NA",E45)))</formula>
    </cfRule>
  </conditionalFormatting>
  <conditionalFormatting sqref="G92:L93">
    <cfRule type="containsText" dxfId="8" priority="1" operator="containsText" text="verificar">
      <formula>NOT(ISERROR(SEARCH("verificar",G92)))</formula>
    </cfRule>
    <cfRule type="containsText" dxfId="7" priority="2" operator="containsText" text="si">
      <formula>NOT(ISERROR(SEARCH("si",G92)))</formula>
    </cfRule>
    <cfRule type="containsText" dxfId="6" priority="3" operator="containsText" text="NV">
      <formula>NOT(ISERROR(SEARCH("NV",G92)))</formula>
    </cfRule>
    <cfRule type="containsText" dxfId="5" priority="4" operator="containsText" text="check">
      <formula>NOT(ISERROR(SEARCH("check",G92)))</formula>
    </cfRule>
  </conditionalFormatting>
  <pageMargins left="0.47244094488188998" right="0.47244094488188998" top="0.59055118110236204" bottom="0.59055118110236204" header="0.39370078740157499" footer="0.39370078740157499"/>
  <pageSetup scale="80" fitToHeight="0" orientation="landscape" r:id="rId4"/>
  <headerFooter alignWithMargins="0">
    <oddFooter>&amp;L&amp;8&amp;D  &amp;T&amp;R&amp;8March 2014, Version 0.2</oddFooter>
  </headerFooter>
  <legacyDrawing r:id="rId5"/>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indexed="15"/>
    <pageSetUpPr fitToPage="1"/>
  </sheetPr>
  <dimension ref="A1:X158"/>
  <sheetViews>
    <sheetView topLeftCell="B1" zoomScale="110" zoomScaleNormal="110" workbookViewId="0">
      <selection activeCell="H34" sqref="H34"/>
    </sheetView>
  </sheetViews>
  <sheetFormatPr baseColWidth="10" defaultColWidth="9.140625" defaultRowHeight="12.75" x14ac:dyDescent="0.2"/>
  <cols>
    <col min="1" max="1" width="12.85546875" style="164" hidden="1" customWidth="1"/>
    <col min="2" max="2" width="7.28515625" style="164" customWidth="1"/>
    <col min="3" max="3" width="29.85546875" style="164" customWidth="1"/>
    <col min="4" max="4" width="1.28515625" style="164" bestFit="1" customWidth="1"/>
    <col min="5" max="15" width="9.140625" style="164" customWidth="1"/>
    <col min="16" max="16" width="12.7109375" style="164" customWidth="1"/>
    <col min="17" max="17" width="14.7109375" style="164" bestFit="1" customWidth="1"/>
    <col min="18" max="24" width="9.85546875" style="164" customWidth="1"/>
    <col min="25" max="25" width="9.140625" style="164" customWidth="1"/>
    <col min="26" max="16384" width="9.140625" style="164"/>
  </cols>
  <sheetData>
    <row r="1" spans="1:24" ht="14.25" x14ac:dyDescent="0.25">
      <c r="B1" s="69" t="str">
        <f>+Coverpage!A1</f>
        <v>GFSM2014_V1.5</v>
      </c>
      <c r="G1" s="164" t="str">
        <f>Reporting_Country_Name</f>
        <v>Colombia</v>
      </c>
      <c r="I1" s="812" t="str">
        <f>Coverpage!I8</f>
        <v>Colombia</v>
      </c>
      <c r="J1" s="812"/>
      <c r="K1" s="812"/>
      <c r="L1" s="812"/>
      <c r="M1" s="812"/>
      <c r="N1" s="163" t="str">
        <f>Reporting_Country_Code</f>
        <v>233</v>
      </c>
      <c r="Q1" s="103"/>
      <c r="R1" s="103"/>
    </row>
    <row r="2" spans="1:24" ht="14.25" x14ac:dyDescent="0.25">
      <c r="B2" s="69" t="s">
        <v>673</v>
      </c>
      <c r="L2" s="813" t="str">
        <f>Reporting_Period_Code</f>
        <v>2016</v>
      </c>
      <c r="M2" s="813"/>
      <c r="N2" s="813"/>
      <c r="Q2" s="103"/>
      <c r="R2" s="103"/>
    </row>
    <row r="3" spans="1:24" ht="12.95" customHeight="1" x14ac:dyDescent="0.2">
      <c r="I3" s="814" t="str">
        <f>"In "&amp;Coverpage!$I$15&amp;" of "&amp;Coverpage!$I$14&amp;" / Fiscal year ends in "&amp;Coverpage!$I$11&amp;" "&amp;Coverpage!$I$12</f>
        <v xml:space="preserve">In Billion of Colombian Pesos (COP) / Fiscal year ends in  </v>
      </c>
      <c r="J3" s="814"/>
      <c r="K3" s="814"/>
      <c r="L3" s="814"/>
      <c r="M3" s="814"/>
      <c r="N3" s="814"/>
      <c r="P3" s="103"/>
      <c r="Q3" s="103"/>
      <c r="R3" s="103"/>
    </row>
    <row r="4" spans="1:24" ht="13.5" customHeight="1" x14ac:dyDescent="0.2">
      <c r="B4" s="297" t="s">
        <v>19</v>
      </c>
      <c r="P4" s="103"/>
      <c r="Q4" s="103"/>
      <c r="R4" s="103"/>
    </row>
    <row r="5" spans="1:24" ht="12.95" customHeight="1" x14ac:dyDescent="0.2">
      <c r="E5" s="298" t="s">
        <v>1416</v>
      </c>
      <c r="F5" s="299"/>
      <c r="G5" s="299"/>
      <c r="H5" s="299"/>
      <c r="I5" s="299"/>
      <c r="J5" s="299"/>
      <c r="K5" s="299"/>
      <c r="L5" s="299"/>
      <c r="M5" s="299"/>
      <c r="N5" s="300"/>
      <c r="P5" s="103"/>
      <c r="Q5" s="103"/>
      <c r="R5" s="103"/>
    </row>
    <row r="6" spans="1:24" ht="12.95" hidden="1" customHeight="1" x14ac:dyDescent="0.2">
      <c r="E6" s="124" t="s">
        <v>1562</v>
      </c>
      <c r="F6" s="125" t="s">
        <v>1563</v>
      </c>
      <c r="G6" s="126" t="s">
        <v>1575</v>
      </c>
      <c r="H6" s="125" t="s">
        <v>634</v>
      </c>
      <c r="I6" s="126" t="s">
        <v>1564</v>
      </c>
      <c r="J6" s="125" t="s">
        <v>1574</v>
      </c>
      <c r="K6" s="126" t="s">
        <v>637</v>
      </c>
      <c r="L6" s="125" t="s">
        <v>1576</v>
      </c>
      <c r="M6" s="127" t="s">
        <v>1565</v>
      </c>
      <c r="N6" s="127" t="s">
        <v>1577</v>
      </c>
      <c r="Q6" s="103"/>
      <c r="R6" s="103"/>
    </row>
    <row r="7" spans="1:24" ht="12.95" customHeight="1" x14ac:dyDescent="0.2">
      <c r="E7" s="124" t="s">
        <v>632</v>
      </c>
      <c r="F7" s="125" t="s">
        <v>633</v>
      </c>
      <c r="G7" s="126" t="s">
        <v>155</v>
      </c>
      <c r="H7" s="126" t="s">
        <v>634</v>
      </c>
      <c r="I7" s="126" t="s">
        <v>635</v>
      </c>
      <c r="J7" s="125" t="s">
        <v>636</v>
      </c>
      <c r="K7" s="126" t="s">
        <v>637</v>
      </c>
      <c r="L7" s="125" t="s">
        <v>156</v>
      </c>
      <c r="M7" s="127" t="s">
        <v>638</v>
      </c>
      <c r="N7" s="127" t="s">
        <v>639</v>
      </c>
      <c r="P7" s="162"/>
      <c r="Q7" s="301"/>
      <c r="R7" s="805" t="s">
        <v>684</v>
      </c>
      <c r="S7" s="806"/>
      <c r="T7" s="806"/>
      <c r="U7" s="806"/>
      <c r="V7" s="806"/>
      <c r="W7" s="806"/>
      <c r="X7" s="807"/>
    </row>
    <row r="8" spans="1:24" x14ac:dyDescent="0.2">
      <c r="B8" s="134" t="s">
        <v>1414</v>
      </c>
      <c r="C8" s="135"/>
      <c r="D8" s="304"/>
      <c r="E8" s="305"/>
      <c r="F8" s="305"/>
      <c r="G8" s="305"/>
      <c r="H8" s="306"/>
      <c r="I8" s="305"/>
      <c r="J8" s="305"/>
      <c r="K8" s="306"/>
      <c r="L8" s="305"/>
      <c r="M8" s="307"/>
      <c r="N8" s="305"/>
      <c r="P8" s="302" t="s">
        <v>20</v>
      </c>
      <c r="Q8" s="303"/>
      <c r="R8" s="810" t="s">
        <v>89</v>
      </c>
      <c r="S8" s="798" t="s">
        <v>90</v>
      </c>
      <c r="T8" s="798" t="s">
        <v>22</v>
      </c>
      <c r="U8" s="798" t="s">
        <v>21</v>
      </c>
      <c r="V8" s="798" t="s">
        <v>23</v>
      </c>
      <c r="W8" s="800" t="s">
        <v>24</v>
      </c>
      <c r="X8" s="808" t="s">
        <v>25</v>
      </c>
    </row>
    <row r="9" spans="1:24" ht="12.95" customHeight="1" x14ac:dyDescent="0.2">
      <c r="A9" s="143" t="s">
        <v>2317</v>
      </c>
      <c r="B9" s="114" t="s">
        <v>1454</v>
      </c>
      <c r="C9" s="110" t="s">
        <v>281</v>
      </c>
      <c r="D9" s="119" t="s">
        <v>48</v>
      </c>
      <c r="E9" s="80"/>
      <c r="F9" s="80"/>
      <c r="G9" s="80"/>
      <c r="H9" s="83"/>
      <c r="I9" s="80"/>
      <c r="J9" s="80"/>
      <c r="K9" s="80"/>
      <c r="L9" s="80"/>
      <c r="M9" s="84"/>
      <c r="N9" s="80"/>
      <c r="P9" s="308"/>
      <c r="Q9" s="309"/>
      <c r="R9" s="811"/>
      <c r="S9" s="799"/>
      <c r="T9" s="799"/>
      <c r="U9" s="799"/>
      <c r="V9" s="799"/>
      <c r="W9" s="801"/>
      <c r="X9" s="809"/>
    </row>
    <row r="10" spans="1:24" ht="12.95" customHeight="1" x14ac:dyDescent="0.2">
      <c r="A10" s="143" t="s">
        <v>2318</v>
      </c>
      <c r="B10" s="114" t="s">
        <v>1470</v>
      </c>
      <c r="C10" s="110" t="s">
        <v>295</v>
      </c>
      <c r="D10" s="119" t="s">
        <v>48</v>
      </c>
      <c r="E10" s="80"/>
      <c r="F10" s="80"/>
      <c r="G10" s="80"/>
      <c r="H10" s="83"/>
      <c r="I10" s="80"/>
      <c r="J10" s="80"/>
      <c r="K10" s="80"/>
      <c r="L10" s="80"/>
      <c r="M10" s="84"/>
      <c r="N10" s="80"/>
      <c r="P10" s="802" t="s">
        <v>691</v>
      </c>
      <c r="Q10" s="128" t="s">
        <v>89</v>
      </c>
      <c r="R10" s="313">
        <f>+IF(AND(E9=0,E16=0),0,"error")</f>
        <v>0</v>
      </c>
      <c r="S10" s="314">
        <f>+IF(ROUND(F9,1)=ROUND(E17,1),ROUND(F9,1),"error")</f>
        <v>0</v>
      </c>
      <c r="T10" s="314">
        <f>+IF(ROUND(H9,1)=ROUND(E18,1),ROUND(H9,1),"error")</f>
        <v>0</v>
      </c>
      <c r="U10" s="314">
        <f>+IF(ROUND(I9,1)=ROUND(E19,1),ROUND(I9,1),"error")</f>
        <v>0</v>
      </c>
      <c r="V10" s="314">
        <f>+IF(ROUND(J9,1)=ROUND(E20,1),ROUND(J9,1),"error")</f>
        <v>0</v>
      </c>
      <c r="W10" s="315">
        <f>+IF(ROUND(K9,1)=ROUND(E21,1),ROUND(K9,1),"error")</f>
        <v>0</v>
      </c>
      <c r="X10" s="316">
        <f>+IF(OR(R10="error",S10="error",U10="error",V10="error",W10="error"),"error",SUM(R10:S10,U10:W10))</f>
        <v>0</v>
      </c>
    </row>
    <row r="11" spans="1:24" ht="12.95" customHeight="1" x14ac:dyDescent="0.2">
      <c r="A11" s="143" t="s">
        <v>2319</v>
      </c>
      <c r="B11" s="114" t="s">
        <v>1486</v>
      </c>
      <c r="C11" s="110" t="s">
        <v>555</v>
      </c>
      <c r="D11" s="119" t="s">
        <v>48</v>
      </c>
      <c r="E11" s="80"/>
      <c r="F11" s="80"/>
      <c r="G11" s="80"/>
      <c r="H11" s="83"/>
      <c r="I11" s="80"/>
      <c r="J11" s="80"/>
      <c r="K11" s="80"/>
      <c r="L11" s="80"/>
      <c r="M11" s="84"/>
      <c r="N11" s="80"/>
      <c r="P11" s="803"/>
      <c r="Q11" s="129" t="s">
        <v>90</v>
      </c>
      <c r="R11" s="317">
        <f>+IF(ROUND(E10,1)=ROUND(F16,1),ROUND(E10,1),"error")</f>
        <v>0</v>
      </c>
      <c r="S11" s="318">
        <f>+IF(AND(F10=0,F17=0),0,"error")</f>
        <v>0</v>
      </c>
      <c r="T11" s="319">
        <f>+IF(ROUND(H10,1)=ROUND(F18,1),ROUND(H10,1),"error")</f>
        <v>0</v>
      </c>
      <c r="U11" s="319">
        <f>+IF(ROUND(I10,1)=ROUND(F19,1),ROUND(I10,1),"error")</f>
        <v>0</v>
      </c>
      <c r="V11" s="319">
        <f>+IF(ROUND(J10,1)=ROUND(F20,1),ROUND(J10,1),"error")</f>
        <v>0</v>
      </c>
      <c r="W11" s="320">
        <f>+IF(ROUND(K10,1)=ROUND(F21,1),ROUND(K10,1),"error")</f>
        <v>0</v>
      </c>
      <c r="X11" s="321">
        <f>+IF(OR(R11="error",S11="error",U11="error",V11="error",W11="error"),"error",SUM(R11:S11,U11:W11))</f>
        <v>0</v>
      </c>
    </row>
    <row r="12" spans="1:24" ht="12.95" customHeight="1" x14ac:dyDescent="0.2">
      <c r="A12" s="143" t="s">
        <v>2320</v>
      </c>
      <c r="B12" s="114" t="s">
        <v>1502</v>
      </c>
      <c r="C12" s="110" t="s">
        <v>282</v>
      </c>
      <c r="D12" s="119" t="s">
        <v>48</v>
      </c>
      <c r="E12" s="80"/>
      <c r="F12" s="80"/>
      <c r="G12" s="80"/>
      <c r="H12" s="83"/>
      <c r="I12" s="80"/>
      <c r="J12" s="80"/>
      <c r="K12" s="80"/>
      <c r="L12" s="80"/>
      <c r="M12" s="84"/>
      <c r="N12" s="80"/>
      <c r="P12" s="803"/>
      <c r="Q12" s="129" t="s">
        <v>22</v>
      </c>
      <c r="R12" s="317">
        <f>+IF(ROUND(E11,1)=ROUND(H16,1),ROUND(E11,1),"error")</f>
        <v>0</v>
      </c>
      <c r="S12" s="319">
        <f>+IF(ROUND(F11,1)=ROUND(H17,1),ROUND(F11,1),"error")</f>
        <v>0</v>
      </c>
      <c r="T12" s="318">
        <f>+IF(AND(H11=0,H18=0),0,"error")</f>
        <v>0</v>
      </c>
      <c r="U12" s="319">
        <f>+IF(ROUND(I11,1)=ROUND(H19,1),ROUND(I11,1),"error")</f>
        <v>0</v>
      </c>
      <c r="V12" s="319">
        <f>+IF(ROUND(J11,1)=ROUND(H20,1),ROUND(J11,1),"error")</f>
        <v>0</v>
      </c>
      <c r="W12" s="320">
        <f>+IF(ROUND(K11,1)=ROUND(H21,1),ROUND(K11,1),"error")</f>
        <v>0</v>
      </c>
      <c r="X12" s="321">
        <f>+IF(OR(T12="error",U12="error",V12="error",W12="error"),"error",SUM(T12:W12))</f>
        <v>0</v>
      </c>
    </row>
    <row r="13" spans="1:24" ht="12.95" customHeight="1" x14ac:dyDescent="0.2">
      <c r="A13" s="143" t="s">
        <v>2321</v>
      </c>
      <c r="B13" s="114" t="s">
        <v>1518</v>
      </c>
      <c r="C13" s="110" t="s">
        <v>283</v>
      </c>
      <c r="D13" s="119" t="s">
        <v>48</v>
      </c>
      <c r="E13" s="80"/>
      <c r="F13" s="80"/>
      <c r="G13" s="80"/>
      <c r="H13" s="83"/>
      <c r="I13" s="80"/>
      <c r="J13" s="80"/>
      <c r="K13" s="80"/>
      <c r="L13" s="80"/>
      <c r="M13" s="84"/>
      <c r="N13" s="80"/>
      <c r="P13" s="803"/>
      <c r="Q13" s="130" t="s">
        <v>21</v>
      </c>
      <c r="R13" s="322">
        <f>+IF(ROUND(E12,1)=ROUND(I16,1),ROUND(E12,1),"error")</f>
        <v>0</v>
      </c>
      <c r="S13" s="323">
        <f>+IF(ROUND(F12,1)=ROUND(I17,1),ROUND(F12,1),"error")</f>
        <v>0</v>
      </c>
      <c r="T13" s="323">
        <f>+IF(ROUND(H12,1)=ROUND(I18,1),ROUND(H12,1),"error")</f>
        <v>0</v>
      </c>
      <c r="U13" s="324">
        <f>+IF(AND(I12=0,I19=0),0,"error")</f>
        <v>0</v>
      </c>
      <c r="V13" s="323">
        <f>+IF(ROUND(J12,1)=ROUND(I20,1),ROUND(J12,1),"error")</f>
        <v>0</v>
      </c>
      <c r="W13" s="325">
        <f>+IF(ROUND(K12,1)=ROUND(I21,1),ROUND(K12,1),"error")</f>
        <v>0</v>
      </c>
      <c r="X13" s="321">
        <f>+IF(OR(R13="error",S13="error",U13="error",V13="error",W13="error"),"error",SUM(R13:S13,U13:W13))</f>
        <v>0</v>
      </c>
    </row>
    <row r="14" spans="1:24" ht="12.95" customHeight="1" x14ac:dyDescent="0.2">
      <c r="A14" s="143" t="s">
        <v>2322</v>
      </c>
      <c r="B14" s="114" t="s">
        <v>1534</v>
      </c>
      <c r="C14" s="110" t="s">
        <v>284</v>
      </c>
      <c r="D14" s="119" t="s">
        <v>48</v>
      </c>
      <c r="E14" s="80"/>
      <c r="F14" s="80"/>
      <c r="G14" s="80"/>
      <c r="H14" s="83"/>
      <c r="I14" s="80"/>
      <c r="J14" s="80"/>
      <c r="K14" s="80"/>
      <c r="L14" s="80"/>
      <c r="M14" s="84"/>
      <c r="N14" s="80"/>
      <c r="P14" s="803"/>
      <c r="Q14" s="129" t="s">
        <v>23</v>
      </c>
      <c r="R14" s="322">
        <f>+IF(ROUND(E13,1)=ROUND(J16,1),ROUND(E13,1),"error")</f>
        <v>0</v>
      </c>
      <c r="S14" s="323">
        <f>+IF(ROUND(F13,1)=ROUND(J17,1),ROUND(F13,1),"error")</f>
        <v>0</v>
      </c>
      <c r="T14" s="323">
        <f>+IF(ROUND(H13,1)=ROUND(J18,1),ROUND(H13,1),"error")</f>
        <v>0</v>
      </c>
      <c r="U14" s="326">
        <f>+IF(ROUND(I13,1)=ROUND(J19,1),ROUND(I13,1),"error")</f>
        <v>0</v>
      </c>
      <c r="V14" s="324">
        <f>+IF(AND(J13=0,J20=0),0,"error")</f>
        <v>0</v>
      </c>
      <c r="W14" s="325">
        <f>+IF(ROUND(K13,1)=ROUND(J21,1),ROUND(K13,1),"error")</f>
        <v>0</v>
      </c>
      <c r="X14" s="321">
        <f>+IF(OR(R14="error",S14="error",U14="error",V14="error",W14="error"),"error",SUM(R14:S14,U14:W14))</f>
        <v>0</v>
      </c>
    </row>
    <row r="15" spans="1:24" ht="12.95" customHeight="1" x14ac:dyDescent="0.2">
      <c r="A15" s="143"/>
      <c r="B15" s="117" t="s">
        <v>1415</v>
      </c>
      <c r="C15" s="133"/>
      <c r="D15" s="328"/>
      <c r="E15" s="310"/>
      <c r="F15" s="310"/>
      <c r="G15" s="310"/>
      <c r="H15" s="311"/>
      <c r="I15" s="310"/>
      <c r="J15" s="310"/>
      <c r="K15" s="311"/>
      <c r="L15" s="310"/>
      <c r="M15" s="312"/>
      <c r="N15" s="310"/>
      <c r="P15" s="803"/>
      <c r="Q15" s="131" t="s">
        <v>24</v>
      </c>
      <c r="R15" s="322">
        <f>+IF(ROUND(E14,1)=ROUND(K16,1),ROUND(E14,1),"error")</f>
        <v>0</v>
      </c>
      <c r="S15" s="323">
        <f>+IF(ROUND(F14,1)=ROUND(K17,1),ROUND(F14,1),"error")</f>
        <v>0</v>
      </c>
      <c r="T15" s="323">
        <f>+IF(ROUND(H14,1)=ROUND(K18,1),ROUND(H14,1),"error")</f>
        <v>0</v>
      </c>
      <c r="U15" s="326">
        <f>+IF(ROUND(I14,1)=ROUND(K19,1),ROUND(I14,1),"error")</f>
        <v>0</v>
      </c>
      <c r="V15" s="326">
        <f>+IF(ROUND(J14,1)=ROUND(K20,1),ROUND(J14,1),"error")</f>
        <v>0</v>
      </c>
      <c r="W15" s="327">
        <f>+IF(AND(K14=0,K21=0),0,"error")</f>
        <v>0</v>
      </c>
      <c r="X15" s="321">
        <f>+IF(OR(R15="error",S15="error",U15="error",V15="error",W15="error"),"error",SUM(R15:S15,U15:W15))</f>
        <v>0</v>
      </c>
    </row>
    <row r="16" spans="1:24" ht="12.95" customHeight="1" x14ac:dyDescent="0.2">
      <c r="A16" s="143" t="s">
        <v>2323</v>
      </c>
      <c r="B16" s="114" t="s">
        <v>1455</v>
      </c>
      <c r="C16" s="110" t="s">
        <v>290</v>
      </c>
      <c r="D16" s="119" t="s">
        <v>48</v>
      </c>
      <c r="E16" s="80"/>
      <c r="F16" s="80"/>
      <c r="G16" s="80"/>
      <c r="H16" s="83"/>
      <c r="I16" s="80"/>
      <c r="J16" s="80"/>
      <c r="K16" s="83"/>
      <c r="L16" s="80"/>
      <c r="M16" s="84"/>
      <c r="N16" s="80"/>
      <c r="P16" s="804"/>
      <c r="Q16" s="132" t="s">
        <v>26</v>
      </c>
      <c r="R16" s="329">
        <f>+IF(OR(R10="error",R11="error",R13="error",R14="error",R15="error"),"error",SUM(R10:R11,R13:R15))</f>
        <v>0</v>
      </c>
      <c r="S16" s="329">
        <f>+IF(OR(S10="error",S11="error",S13="error",S14="error",S15="error"),"error",SUM(S10:S11,S13:S15))</f>
        <v>0</v>
      </c>
      <c r="T16" s="330">
        <f>+IF(OR(T12="error",T13="error",T14="error",T15="error"),"error",SUM(T12:T15))</f>
        <v>0</v>
      </c>
      <c r="U16" s="330">
        <f>+IF(OR(U10="error",U11="error",U13="error",U14="error",U15="error"),"error",SUM(U10:U11,U13:U15))</f>
        <v>0</v>
      </c>
      <c r="V16" s="330">
        <f>+IF(OR(V10="error",V11="error",V13="error",V14="error",V15="error"),"error",SUM(V10:V11,V13:V15))</f>
        <v>0</v>
      </c>
      <c r="W16" s="330">
        <f>+IF(OR(W10="error",W11="error",W13="error",W14="error",W15="error"),"error",SUM(W10:W11,W13:W15))</f>
        <v>0</v>
      </c>
      <c r="X16" s="331"/>
    </row>
    <row r="17" spans="1:24" ht="12.95" customHeight="1" x14ac:dyDescent="0.2">
      <c r="A17" s="143" t="s">
        <v>2324</v>
      </c>
      <c r="B17" s="114" t="s">
        <v>1471</v>
      </c>
      <c r="C17" s="110" t="s">
        <v>294</v>
      </c>
      <c r="D17" s="119" t="s">
        <v>48</v>
      </c>
      <c r="E17" s="80"/>
      <c r="F17" s="80"/>
      <c r="G17" s="80"/>
      <c r="H17" s="83"/>
      <c r="I17" s="80"/>
      <c r="J17" s="80"/>
      <c r="K17" s="83"/>
      <c r="L17" s="80"/>
      <c r="M17" s="84"/>
      <c r="N17" s="80"/>
      <c r="P17" s="332"/>
      <c r="Q17" s="332"/>
      <c r="R17" s="333"/>
      <c r="S17" s="333"/>
      <c r="T17" s="333"/>
      <c r="U17" s="333"/>
      <c r="V17" s="333"/>
      <c r="W17" s="333"/>
      <c r="X17" s="334"/>
    </row>
    <row r="18" spans="1:24" ht="12.95" customHeight="1" x14ac:dyDescent="0.2">
      <c r="A18" s="143" t="s">
        <v>2325</v>
      </c>
      <c r="B18" s="114" t="s">
        <v>1487</v>
      </c>
      <c r="C18" s="110" t="s">
        <v>559</v>
      </c>
      <c r="D18" s="119" t="s">
        <v>48</v>
      </c>
      <c r="E18" s="80"/>
      <c r="F18" s="80"/>
      <c r="G18" s="80"/>
      <c r="H18" s="83"/>
      <c r="I18" s="80"/>
      <c r="J18" s="80"/>
      <c r="K18" s="83"/>
      <c r="L18" s="80"/>
      <c r="M18" s="84"/>
      <c r="N18" s="80"/>
      <c r="P18" s="332"/>
      <c r="Q18" s="332"/>
      <c r="R18" s="333"/>
      <c r="S18" s="333"/>
      <c r="T18" s="333"/>
      <c r="U18" s="333"/>
      <c r="V18" s="333"/>
      <c r="W18" s="333"/>
      <c r="X18" s="333"/>
    </row>
    <row r="19" spans="1:24" ht="12.95" customHeight="1" x14ac:dyDescent="0.2">
      <c r="A19" s="143" t="s">
        <v>2326</v>
      </c>
      <c r="B19" s="114" t="s">
        <v>1503</v>
      </c>
      <c r="C19" s="110" t="s">
        <v>291</v>
      </c>
      <c r="D19" s="119" t="s">
        <v>48</v>
      </c>
      <c r="E19" s="80"/>
      <c r="F19" s="80"/>
      <c r="G19" s="80"/>
      <c r="H19" s="83"/>
      <c r="I19" s="80"/>
      <c r="J19" s="80"/>
      <c r="K19" s="83"/>
      <c r="L19" s="80"/>
      <c r="M19" s="84"/>
      <c r="N19" s="80"/>
      <c r="P19" s="332"/>
      <c r="Q19" s="332"/>
      <c r="R19" s="333"/>
      <c r="S19" s="333"/>
      <c r="T19" s="333"/>
      <c r="U19" s="333"/>
      <c r="V19" s="333"/>
      <c r="W19" s="333"/>
      <c r="X19" s="333"/>
    </row>
    <row r="20" spans="1:24" ht="12.95" customHeight="1" x14ac:dyDescent="0.2">
      <c r="A20" s="143" t="s">
        <v>2327</v>
      </c>
      <c r="B20" s="114" t="s">
        <v>1519</v>
      </c>
      <c r="C20" s="110" t="s">
        <v>292</v>
      </c>
      <c r="D20" s="119" t="s">
        <v>48</v>
      </c>
      <c r="E20" s="80"/>
      <c r="F20" s="80"/>
      <c r="G20" s="80"/>
      <c r="H20" s="83"/>
      <c r="I20" s="80"/>
      <c r="J20" s="80"/>
      <c r="K20" s="83"/>
      <c r="L20" s="80"/>
      <c r="M20" s="84"/>
      <c r="N20" s="80"/>
      <c r="P20" s="332"/>
      <c r="Q20" s="332"/>
      <c r="R20" s="333"/>
      <c r="S20" s="333"/>
      <c r="T20" s="333"/>
      <c r="U20" s="333"/>
      <c r="V20" s="333"/>
      <c r="W20" s="333"/>
      <c r="X20" s="333"/>
    </row>
    <row r="21" spans="1:24" ht="12.95" customHeight="1" x14ac:dyDescent="0.2">
      <c r="A21" s="143" t="s">
        <v>2328</v>
      </c>
      <c r="B21" s="114" t="s">
        <v>1535</v>
      </c>
      <c r="C21" s="113" t="s">
        <v>293</v>
      </c>
      <c r="D21" s="335" t="s">
        <v>48</v>
      </c>
      <c r="E21" s="82"/>
      <c r="F21" s="82"/>
      <c r="G21" s="82"/>
      <c r="H21" s="85"/>
      <c r="I21" s="82"/>
      <c r="J21" s="82"/>
      <c r="K21" s="85"/>
      <c r="L21" s="82"/>
      <c r="M21" s="86"/>
      <c r="N21" s="82"/>
      <c r="P21" s="332"/>
      <c r="Q21" s="332"/>
      <c r="R21" s="333"/>
      <c r="S21" s="333"/>
      <c r="T21" s="333"/>
      <c r="U21" s="333"/>
      <c r="V21" s="333"/>
      <c r="W21" s="333"/>
      <c r="X21" s="333"/>
    </row>
    <row r="22" spans="1:24" ht="12.95" customHeight="1" x14ac:dyDescent="0.2">
      <c r="A22" s="143"/>
      <c r="P22" s="332"/>
      <c r="Q22" s="332"/>
      <c r="R22" s="333"/>
      <c r="S22" s="333"/>
      <c r="T22" s="333"/>
      <c r="U22" s="333"/>
      <c r="V22" s="333"/>
      <c r="W22" s="333"/>
      <c r="X22" s="333"/>
    </row>
    <row r="23" spans="1:24" ht="12.95" customHeight="1" x14ac:dyDescent="0.2">
      <c r="A23" s="143"/>
      <c r="E23" s="298" t="s">
        <v>676</v>
      </c>
      <c r="F23" s="299"/>
      <c r="G23" s="299"/>
      <c r="H23" s="299"/>
      <c r="I23" s="299"/>
      <c r="J23" s="299"/>
      <c r="K23" s="299"/>
      <c r="L23" s="299"/>
      <c r="M23" s="299"/>
      <c r="N23" s="300"/>
      <c r="O23" s="339"/>
      <c r="P23" s="332"/>
      <c r="Q23" s="332"/>
      <c r="R23" s="333"/>
      <c r="S23" s="333"/>
      <c r="T23" s="333"/>
      <c r="U23" s="333"/>
      <c r="V23" s="333"/>
      <c r="W23" s="333"/>
      <c r="X23" s="333"/>
    </row>
    <row r="24" spans="1:24" ht="12.95" customHeight="1" x14ac:dyDescent="0.2">
      <c r="A24" s="143"/>
      <c r="E24" s="124" t="s">
        <v>632</v>
      </c>
      <c r="F24" s="125" t="s">
        <v>633</v>
      </c>
      <c r="G24" s="126" t="s">
        <v>155</v>
      </c>
      <c r="H24" s="125" t="s">
        <v>634</v>
      </c>
      <c r="I24" s="126" t="s">
        <v>635</v>
      </c>
      <c r="J24" s="125" t="s">
        <v>636</v>
      </c>
      <c r="K24" s="126" t="s">
        <v>637</v>
      </c>
      <c r="L24" s="125" t="s">
        <v>156</v>
      </c>
      <c r="M24" s="127" t="s">
        <v>638</v>
      </c>
      <c r="N24" s="127" t="s">
        <v>639</v>
      </c>
      <c r="O24" s="339"/>
      <c r="P24" s="162"/>
      <c r="Q24" s="301"/>
      <c r="R24" s="805" t="s">
        <v>680</v>
      </c>
      <c r="S24" s="806"/>
      <c r="T24" s="806"/>
      <c r="U24" s="806"/>
      <c r="V24" s="806"/>
      <c r="W24" s="806"/>
      <c r="X24" s="807"/>
    </row>
    <row r="25" spans="1:24" x14ac:dyDescent="0.2">
      <c r="A25" s="143"/>
      <c r="B25" s="134" t="s">
        <v>677</v>
      </c>
      <c r="C25" s="135"/>
      <c r="D25" s="304"/>
      <c r="E25" s="305"/>
      <c r="F25" s="305"/>
      <c r="G25" s="305"/>
      <c r="H25" s="306"/>
      <c r="I25" s="305"/>
      <c r="J25" s="305"/>
      <c r="K25" s="306"/>
      <c r="L25" s="305"/>
      <c r="M25" s="307"/>
      <c r="N25" s="305"/>
      <c r="O25" s="339"/>
      <c r="P25" s="302" t="s">
        <v>27</v>
      </c>
      <c r="Q25" s="303"/>
      <c r="R25" s="810" t="s">
        <v>89</v>
      </c>
      <c r="S25" s="798" t="s">
        <v>90</v>
      </c>
      <c r="T25" s="798" t="s">
        <v>22</v>
      </c>
      <c r="U25" s="798" t="s">
        <v>21</v>
      </c>
      <c r="V25" s="798" t="s">
        <v>23</v>
      </c>
      <c r="W25" s="800" t="s">
        <v>24</v>
      </c>
      <c r="X25" s="808" t="s">
        <v>25</v>
      </c>
    </row>
    <row r="26" spans="1:24" ht="12.95" customHeight="1" x14ac:dyDescent="0.2">
      <c r="A26" s="143"/>
      <c r="B26" s="114" t="s">
        <v>1556</v>
      </c>
      <c r="C26" s="110" t="s">
        <v>281</v>
      </c>
      <c r="D26" s="119" t="s">
        <v>48</v>
      </c>
      <c r="E26" s="310" t="str">
        <f>IF(Table1!E102="NP",0,Table1!E102)</f>
        <v>NA</v>
      </c>
      <c r="F26" s="310" t="str">
        <f>IF(Table1!F102="NP",0,Table1!F102)</f>
        <v>NA</v>
      </c>
      <c r="G26" s="310" t="str">
        <f>IF(Table1!G102="NP",0,Table1!G102)</f>
        <v>NA</v>
      </c>
      <c r="H26" s="311">
        <f t="shared" ref="H26:H31" si="0">SUM(E26:G26)</f>
        <v>0</v>
      </c>
      <c r="I26" s="310" t="str">
        <f>IF(Table1!I102="NP",0,Table1!I102)</f>
        <v>NA</v>
      </c>
      <c r="J26" s="310" t="str">
        <f>IF(Table1!J102="NP",0,Table1!J102)</f>
        <v>NA</v>
      </c>
      <c r="K26" s="310" t="str">
        <f>IF(Table1!K102="NP",0,Table1!K102)</f>
        <v>NA</v>
      </c>
      <c r="L26" s="310" t="str">
        <f>IF(Table1!L102="NP",0,Table1!L102)</f>
        <v>NA</v>
      </c>
      <c r="M26" s="312">
        <f t="shared" ref="M26:M31" si="1">SUM(H26:L26)</f>
        <v>0</v>
      </c>
      <c r="N26" s="310" t="str">
        <f>IF(Table1!N102="NP",0,Table1!N102)</f>
        <v>NA</v>
      </c>
      <c r="O26" s="339"/>
      <c r="P26" s="308"/>
      <c r="Q26" s="309"/>
      <c r="R26" s="811"/>
      <c r="S26" s="799"/>
      <c r="T26" s="799"/>
      <c r="U26" s="799"/>
      <c r="V26" s="799"/>
      <c r="W26" s="801"/>
      <c r="X26" s="809"/>
    </row>
    <row r="27" spans="1:24" ht="12.95" customHeight="1" x14ac:dyDescent="0.2">
      <c r="A27" s="143"/>
      <c r="B27" s="114" t="s">
        <v>1557</v>
      </c>
      <c r="C27" s="110" t="s">
        <v>295</v>
      </c>
      <c r="D27" s="119" t="s">
        <v>48</v>
      </c>
      <c r="E27" s="310" t="str">
        <f>IF(Table1!E103="NP",0,Table1!E103)</f>
        <v>NA</v>
      </c>
      <c r="F27" s="310" t="str">
        <f>IF(Table1!F103="NP",0,Table1!F103)</f>
        <v>NA</v>
      </c>
      <c r="G27" s="310" t="str">
        <f>IF(Table1!G103="NP",0,Table1!G103)</f>
        <v>NA</v>
      </c>
      <c r="H27" s="311">
        <f t="shared" si="0"/>
        <v>0</v>
      </c>
      <c r="I27" s="310" t="str">
        <f>IF(Table1!I103="NP",0,Table1!I103)</f>
        <v>NA</v>
      </c>
      <c r="J27" s="310" t="str">
        <f>IF(Table1!J103="NP",0,Table1!J103)</f>
        <v>NA</v>
      </c>
      <c r="K27" s="310" t="str">
        <f>IF(Table1!K103="NP",0,Table1!K103)</f>
        <v>NA</v>
      </c>
      <c r="L27" s="310" t="str">
        <f>IF(Table1!L103="NP",0,Table1!L103)</f>
        <v>NA</v>
      </c>
      <c r="M27" s="312">
        <f t="shared" si="1"/>
        <v>0</v>
      </c>
      <c r="N27" s="310" t="str">
        <f>IF(Table1!N103="NP",0,Table1!N103)</f>
        <v>NA</v>
      </c>
      <c r="O27" s="339"/>
      <c r="P27" s="802" t="s">
        <v>679</v>
      </c>
      <c r="Q27" s="128" t="s">
        <v>89</v>
      </c>
      <c r="R27" s="313" t="str">
        <f>+IF(AND(E26=0,E33=0),0,"error")</f>
        <v>error</v>
      </c>
      <c r="S27" s="314" t="e">
        <f>+IF(ROUND(F26,1)=ROUND(E34,1),ROUND(F26,1),"error")</f>
        <v>#VALUE!</v>
      </c>
      <c r="T27" s="314" t="e">
        <f>+IF(ROUND(H26,1)=ROUND(E35,1),ROUND(H26,1),"error")</f>
        <v>#VALUE!</v>
      </c>
      <c r="U27" s="314" t="e">
        <f>+IF(ROUND(I26,1)=ROUND(E36,1),ROUND(I26,1),"error")</f>
        <v>#VALUE!</v>
      </c>
      <c r="V27" s="314" t="e">
        <f>+IF(ROUND(J26,1)=ROUND(E37,1),ROUND(J26,1),"error")</f>
        <v>#VALUE!</v>
      </c>
      <c r="W27" s="315" t="e">
        <f>+IF(ROUND(K26,1)=ROUND(E38,1),ROUND(K26,1),"error")</f>
        <v>#VALUE!</v>
      </c>
      <c r="X27" s="316" t="e">
        <f>+IF(OR(R27="error",S27="error",U27="error",V27="error",W27="error"),"error",SUM(R27:S27,U27:W27))</f>
        <v>#VALUE!</v>
      </c>
    </row>
    <row r="28" spans="1:24" ht="12.95" customHeight="1" x14ac:dyDescent="0.2">
      <c r="A28" s="143"/>
      <c r="B28" s="114" t="s">
        <v>1558</v>
      </c>
      <c r="C28" s="110" t="s">
        <v>555</v>
      </c>
      <c r="D28" s="119" t="s">
        <v>48</v>
      </c>
      <c r="E28" s="310" t="str">
        <f>IF(Table1!E104="NP",0,Table1!E104)</f>
        <v>NA</v>
      </c>
      <c r="F28" s="310" t="str">
        <f>IF(Table1!F104="NP",0,Table1!F104)</f>
        <v>NA</v>
      </c>
      <c r="G28" s="310" t="str">
        <f>IF(Table1!G104="NP",0,Table1!G104)</f>
        <v>NA</v>
      </c>
      <c r="H28" s="311">
        <f t="shared" si="0"/>
        <v>0</v>
      </c>
      <c r="I28" s="310" t="str">
        <f>IF(Table1!I104="NP",0,Table1!I104)</f>
        <v>NA</v>
      </c>
      <c r="J28" s="310" t="str">
        <f>IF(Table1!J104="NP",0,Table1!J104)</f>
        <v>NA</v>
      </c>
      <c r="K28" s="310" t="str">
        <f>IF(Table1!K104="NP",0,Table1!K104)</f>
        <v>NA</v>
      </c>
      <c r="L28" s="310" t="str">
        <f>IF(Table1!L104="NP",0,Table1!L104)</f>
        <v>NA</v>
      </c>
      <c r="M28" s="312">
        <f t="shared" si="1"/>
        <v>0</v>
      </c>
      <c r="N28" s="310" t="str">
        <f>IF(Table1!N104="NP",0,Table1!N104)</f>
        <v>NA</v>
      </c>
      <c r="O28" s="339"/>
      <c r="P28" s="803"/>
      <c r="Q28" s="129" t="s">
        <v>90</v>
      </c>
      <c r="R28" s="317" t="e">
        <f>+IF(ROUND(E27,1)=ROUND(F33,1),ROUND(E27,1),"error")</f>
        <v>#VALUE!</v>
      </c>
      <c r="S28" s="318" t="str">
        <f>+IF(AND(F27=0,F34=0),0,"error")</f>
        <v>error</v>
      </c>
      <c r="T28" s="319" t="e">
        <f>+IF(ROUND(H27,1)=ROUND(F35,1),ROUND(H27,1),"error")</f>
        <v>#VALUE!</v>
      </c>
      <c r="U28" s="319" t="e">
        <f>+IF(ROUND(I27,1)=ROUND(F36,1),ROUND(I27,1),"error")</f>
        <v>#VALUE!</v>
      </c>
      <c r="V28" s="319" t="e">
        <f>+IF(ROUND(J27,1)=ROUND(F37,1),ROUND(J27,1),"error")</f>
        <v>#VALUE!</v>
      </c>
      <c r="W28" s="320" t="e">
        <f>+IF(ROUND(K27,1)=ROUND(F38,1),ROUND(K27,1),"error")</f>
        <v>#VALUE!</v>
      </c>
      <c r="X28" s="321" t="e">
        <f>+IF(OR(R28="error",S28="error",U28="error",V28="error",W28="error"),"error",SUM(R28:S28,U28:W28))</f>
        <v>#VALUE!</v>
      </c>
    </row>
    <row r="29" spans="1:24" ht="12.95" customHeight="1" x14ac:dyDescent="0.2">
      <c r="A29" s="143"/>
      <c r="B29" s="114" t="s">
        <v>1559</v>
      </c>
      <c r="C29" s="110" t="s">
        <v>282</v>
      </c>
      <c r="D29" s="119" t="s">
        <v>48</v>
      </c>
      <c r="E29" s="310" t="str">
        <f>IF(Table1!E105="NP",0,Table1!E105)</f>
        <v>NA</v>
      </c>
      <c r="F29" s="310" t="str">
        <f>IF(Table1!F105="NP",0,Table1!F105)</f>
        <v>NA</v>
      </c>
      <c r="G29" s="310" t="str">
        <f>IF(Table1!G105="NP",0,Table1!G105)</f>
        <v>NA</v>
      </c>
      <c r="H29" s="311">
        <f t="shared" si="0"/>
        <v>0</v>
      </c>
      <c r="I29" s="310" t="str">
        <f>IF(Table1!I105="NP",0,Table1!I105)</f>
        <v>NA</v>
      </c>
      <c r="J29" s="310" t="str">
        <f>IF(Table1!J105="NP",0,Table1!J105)</f>
        <v>NA</v>
      </c>
      <c r="K29" s="310" t="str">
        <f>IF(Table1!K105="NP",0,Table1!K105)</f>
        <v>NA</v>
      </c>
      <c r="L29" s="310" t="str">
        <f>IF(Table1!L105="NP",0,Table1!L105)</f>
        <v>NA</v>
      </c>
      <c r="M29" s="312">
        <f t="shared" si="1"/>
        <v>0</v>
      </c>
      <c r="N29" s="310" t="str">
        <f>IF(Table1!N105="NP",0,Table1!N105)</f>
        <v>NA</v>
      </c>
      <c r="O29" s="339"/>
      <c r="P29" s="803"/>
      <c r="Q29" s="129" t="s">
        <v>22</v>
      </c>
      <c r="R29" s="317" t="e">
        <f>+IF(ROUND(E28,1)=ROUND(H33,1),ROUND(E28,1),"error")</f>
        <v>#VALUE!</v>
      </c>
      <c r="S29" s="319" t="e">
        <f>+IF(ROUND(F28,1)=ROUND(H34,1),ROUND(F28,1),"error")</f>
        <v>#VALUE!</v>
      </c>
      <c r="T29" s="318">
        <f>+IF(AND(H28=0,H35=0),0,"error")</f>
        <v>0</v>
      </c>
      <c r="U29" s="319" t="e">
        <f>+IF(ROUND(I28,1)=ROUND(H36,1),ROUND(I28,1),"error")</f>
        <v>#VALUE!</v>
      </c>
      <c r="V29" s="319" t="e">
        <f>+IF(ROUND(J28,1)=ROUND(H37,1),ROUND(J28,1),"error")</f>
        <v>#VALUE!</v>
      </c>
      <c r="W29" s="320" t="e">
        <f>+IF(ROUND(K28,1)=ROUND(H38,1),ROUND(K28,1),"error")</f>
        <v>#VALUE!</v>
      </c>
      <c r="X29" s="321" t="e">
        <f>+IF(OR(T29="error",U29="error",V29="error",W29="error"),"error",SUM(T29:W29))</f>
        <v>#VALUE!</v>
      </c>
    </row>
    <row r="30" spans="1:24" ht="12.95" customHeight="1" x14ac:dyDescent="0.2">
      <c r="A30" s="143"/>
      <c r="B30" s="114" t="s">
        <v>1560</v>
      </c>
      <c r="C30" s="110" t="s">
        <v>283</v>
      </c>
      <c r="D30" s="119" t="s">
        <v>48</v>
      </c>
      <c r="E30" s="310" t="str">
        <f>IF(Table1!E106="NP",0,Table1!E106)</f>
        <v>NA</v>
      </c>
      <c r="F30" s="310" t="str">
        <f>IF(Table1!F106="NP",0,Table1!F106)</f>
        <v>NA</v>
      </c>
      <c r="G30" s="310" t="str">
        <f>IF(Table1!G106="NP",0,Table1!G106)</f>
        <v>NA</v>
      </c>
      <c r="H30" s="311">
        <f t="shared" si="0"/>
        <v>0</v>
      </c>
      <c r="I30" s="310" t="str">
        <f>IF(Table1!I106="NP",0,Table1!I106)</f>
        <v>NA</v>
      </c>
      <c r="J30" s="310" t="str">
        <f>IF(Table1!J106="NP",0,Table1!J106)</f>
        <v>NA</v>
      </c>
      <c r="K30" s="310" t="str">
        <f>IF(Table1!K106="NP",0,Table1!K106)</f>
        <v>NA</v>
      </c>
      <c r="L30" s="310" t="str">
        <f>IF(Table1!L106="NP",0,Table1!L106)</f>
        <v>NA</v>
      </c>
      <c r="M30" s="312">
        <f t="shared" si="1"/>
        <v>0</v>
      </c>
      <c r="N30" s="310" t="str">
        <f>IF(Table1!N106="NP",0,Table1!N106)</f>
        <v>NA</v>
      </c>
      <c r="O30" s="339"/>
      <c r="P30" s="803"/>
      <c r="Q30" s="130" t="s">
        <v>21</v>
      </c>
      <c r="R30" s="322" t="e">
        <f>+IF(ROUND(E29,1)=ROUND(I33,1),ROUND(E29,1),"error")</f>
        <v>#VALUE!</v>
      </c>
      <c r="S30" s="323" t="e">
        <f>+IF(ROUND(F29,1)=ROUND(I34,1),ROUND(F29,1),"error")</f>
        <v>#VALUE!</v>
      </c>
      <c r="T30" s="323" t="e">
        <f>+IF(ROUND(H29,1)=ROUND(I35,1),ROUND(H29,1),"error")</f>
        <v>#VALUE!</v>
      </c>
      <c r="U30" s="324" t="str">
        <f>+IF(AND(I29=0,I36=0),0,"error")</f>
        <v>error</v>
      </c>
      <c r="V30" s="323" t="e">
        <f>+IF(ROUND(J29,1)=ROUND(I37,1),ROUND(J29,1),"error")</f>
        <v>#VALUE!</v>
      </c>
      <c r="W30" s="325" t="e">
        <f>+IF(ROUND(K29,1)=ROUND(I38,1),ROUND(K29,1),"error")</f>
        <v>#VALUE!</v>
      </c>
      <c r="X30" s="321" t="e">
        <f>+IF(OR(R30="error",S30="error",U30="error",V30="error",W30="error"),"error",SUM(R30:S30,U30:W30))</f>
        <v>#VALUE!</v>
      </c>
    </row>
    <row r="31" spans="1:24" ht="12.95" customHeight="1" x14ac:dyDescent="0.2">
      <c r="A31" s="143"/>
      <c r="B31" s="114" t="s">
        <v>1561</v>
      </c>
      <c r="C31" s="110" t="s">
        <v>284</v>
      </c>
      <c r="D31" s="119" t="s">
        <v>48</v>
      </c>
      <c r="E31" s="310" t="str">
        <f>IF(Table1!E107="NP",0,Table1!E107)</f>
        <v>NA</v>
      </c>
      <c r="F31" s="310" t="str">
        <f>IF(Table1!F107="NP",0,Table1!F107)</f>
        <v>NA</v>
      </c>
      <c r="G31" s="310" t="str">
        <f>IF(Table1!G107="NP",0,Table1!G107)</f>
        <v>NA</v>
      </c>
      <c r="H31" s="311">
        <f t="shared" si="0"/>
        <v>0</v>
      </c>
      <c r="I31" s="310" t="str">
        <f>IF(Table1!I107="NP",0,Table1!I107)</f>
        <v>NA</v>
      </c>
      <c r="J31" s="310" t="str">
        <f>IF(Table1!J107="NP",0,Table1!J107)</f>
        <v>NA</v>
      </c>
      <c r="K31" s="310" t="str">
        <f>IF(Table1!K107="NP",0,Table1!K107)</f>
        <v>NA</v>
      </c>
      <c r="L31" s="310" t="str">
        <f>IF(Table1!L107="NP",0,Table1!L107)</f>
        <v>NA</v>
      </c>
      <c r="M31" s="312">
        <f t="shared" si="1"/>
        <v>0</v>
      </c>
      <c r="N31" s="310" t="str">
        <f>IF(Table1!N107="NP",0,Table1!N107)</f>
        <v>NA</v>
      </c>
      <c r="O31" s="339"/>
      <c r="P31" s="803"/>
      <c r="Q31" s="129" t="s">
        <v>23</v>
      </c>
      <c r="R31" s="322" t="e">
        <f>+IF(ROUND(E30,1)=ROUND(J33,1),ROUND(E30,1),"error")</f>
        <v>#VALUE!</v>
      </c>
      <c r="S31" s="323" t="e">
        <f>+IF(ROUND(F30,1)=ROUND(J34,1),ROUND(F30,1),"error")</f>
        <v>#VALUE!</v>
      </c>
      <c r="T31" s="323" t="e">
        <f>+IF(ROUND(H30,1)=ROUND(J35,1),ROUND(H30,1),"error")</f>
        <v>#VALUE!</v>
      </c>
      <c r="U31" s="326" t="e">
        <f>+IF(ROUND(I30,1)=ROUND(J36,1),ROUND(I30,1),"error")</f>
        <v>#VALUE!</v>
      </c>
      <c r="V31" s="324" t="str">
        <f>+IF(AND(J30=0,J37=0),0,"error")</f>
        <v>error</v>
      </c>
      <c r="W31" s="325" t="e">
        <f>+IF(ROUND(K30,1)=ROUND(J38,1),ROUND(K30,1),"error")</f>
        <v>#VALUE!</v>
      </c>
      <c r="X31" s="321" t="e">
        <f>+IF(OR(R31="error",S31="error",U31="error",V31="error",W31="error"),"error",SUM(R31:S31,U31:W31))</f>
        <v>#VALUE!</v>
      </c>
    </row>
    <row r="32" spans="1:24" ht="12.95" customHeight="1" x14ac:dyDescent="0.2">
      <c r="A32" s="143"/>
      <c r="B32" s="117" t="s">
        <v>678</v>
      </c>
      <c r="C32" s="133"/>
      <c r="D32" s="328"/>
      <c r="E32" s="310"/>
      <c r="F32" s="310"/>
      <c r="G32" s="310"/>
      <c r="H32" s="311"/>
      <c r="I32" s="310"/>
      <c r="J32" s="310"/>
      <c r="K32" s="311"/>
      <c r="L32" s="310"/>
      <c r="M32" s="312"/>
      <c r="N32" s="310"/>
      <c r="O32" s="339"/>
      <c r="P32" s="803"/>
      <c r="Q32" s="131" t="s">
        <v>24</v>
      </c>
      <c r="R32" s="322" t="e">
        <f>+IF(ROUND(E31,1)=ROUND(K33,1),ROUND(E31,1),"error")</f>
        <v>#VALUE!</v>
      </c>
      <c r="S32" s="323" t="e">
        <f>+IF(ROUND(F31,1)=ROUND(K34,1),ROUND(F31,1),"error")</f>
        <v>#VALUE!</v>
      </c>
      <c r="T32" s="323" t="e">
        <f>+IF(ROUND(H31,1)=ROUND(K35,1),ROUND(H31,1),"error")</f>
        <v>#VALUE!</v>
      </c>
      <c r="U32" s="326" t="e">
        <f>+IF(ROUND(I31,1)=ROUND(K36,1),ROUND(I31,1),"error")</f>
        <v>#VALUE!</v>
      </c>
      <c r="V32" s="326" t="e">
        <f>+IF(ROUND(J31,1)=ROUND(K37,1),ROUND(J31,1),"error")</f>
        <v>#VALUE!</v>
      </c>
      <c r="W32" s="327" t="str">
        <f>+IF(AND(K31=0,K38=0),0,"error")</f>
        <v>error</v>
      </c>
      <c r="X32" s="321" t="e">
        <f>+IF(OR(R32="error",S32="error",U32="error",V32="error",W32="error"),"error",SUM(R32:S32,U32:W32))</f>
        <v>#VALUE!</v>
      </c>
    </row>
    <row r="33" spans="1:24" ht="12.95" customHeight="1" x14ac:dyDescent="0.2">
      <c r="A33" s="143"/>
      <c r="B33" s="114" t="s">
        <v>1550</v>
      </c>
      <c r="C33" s="110" t="s">
        <v>290</v>
      </c>
      <c r="D33" s="119" t="s">
        <v>48</v>
      </c>
      <c r="E33" s="310" t="str">
        <f>IF(Table2!E68="NP",0,Table2!E68)</f>
        <v>NA</v>
      </c>
      <c r="F33" s="310" t="str">
        <f>IF(Table2!F68="NP",0,Table2!F68)</f>
        <v>NA</v>
      </c>
      <c r="G33" s="310" t="str">
        <f>IF(Table2!G68="NP",0,Table2!G68)</f>
        <v>NA</v>
      </c>
      <c r="H33" s="311">
        <f t="shared" ref="H33:H38" si="2">SUM(E33:G33)</f>
        <v>0</v>
      </c>
      <c r="I33" s="310" t="str">
        <f>IF(Table2!I68="NP",0,Table2!I68)</f>
        <v>NA</v>
      </c>
      <c r="J33" s="310" t="str">
        <f>IF(Table2!J68="NP",0,Table2!J68)</f>
        <v>NA</v>
      </c>
      <c r="K33" s="311" t="str">
        <f>IF(Table2!K68="NP",0,Table2!K68)</f>
        <v>NA</v>
      </c>
      <c r="L33" s="310" t="str">
        <f>IF(Table2!L68="NP",0,Table2!L68)</f>
        <v>NA</v>
      </c>
      <c r="M33" s="312">
        <f t="shared" ref="M33:M38" si="3">SUM(H33:L33)</f>
        <v>0</v>
      </c>
      <c r="N33" s="310" t="str">
        <f>IF(Table2!N68="NP",0,Table2!N68)</f>
        <v>NA</v>
      </c>
      <c r="O33" s="339"/>
      <c r="P33" s="804"/>
      <c r="Q33" s="132" t="s">
        <v>26</v>
      </c>
      <c r="R33" s="329" t="e">
        <f>+IF(OR(R27="error",R28="error",R30="error",R31="error",R32="error"),"error",SUM(R27:R28,R30:R32))</f>
        <v>#VALUE!</v>
      </c>
      <c r="S33" s="329" t="e">
        <f>+IF(OR(S27="error",S28="error",S30="error",S31="error",S32="error"),"error",SUM(S27:S28,S30:S32))</f>
        <v>#VALUE!</v>
      </c>
      <c r="T33" s="330" t="e">
        <f>+IF(OR(T29="error",T30="error",T31="error",T32="error"),"error",SUM(T29:T32))</f>
        <v>#VALUE!</v>
      </c>
      <c r="U33" s="330" t="e">
        <f>+IF(OR(U27="error",U28="error",U30="error",U31="error",U32="error"),"error",SUM(U27:U28,U30:U32))</f>
        <v>#VALUE!</v>
      </c>
      <c r="V33" s="330" t="e">
        <f>+IF(OR(V27="error",V28="error",V30="error",V31="error",V32="error"),"error",SUM(V27:V28,V30:V32))</f>
        <v>#VALUE!</v>
      </c>
      <c r="W33" s="330" t="e">
        <f>+IF(OR(W27="error",W28="error",W30="error",W31="error",W32="error"),"error",SUM(W27:W28,W30:W32))</f>
        <v>#VALUE!</v>
      </c>
      <c r="X33" s="331"/>
    </row>
    <row r="34" spans="1:24" ht="12.95" customHeight="1" x14ac:dyDescent="0.2">
      <c r="A34" s="143"/>
      <c r="B34" s="114" t="s">
        <v>1551</v>
      </c>
      <c r="C34" s="110" t="s">
        <v>294</v>
      </c>
      <c r="D34" s="119" t="s">
        <v>48</v>
      </c>
      <c r="E34" s="310" t="str">
        <f>IF(Table2!E69="NP",0,Table2!E69)</f>
        <v>NA</v>
      </c>
      <c r="F34" s="310" t="str">
        <f>IF(Table2!F69="NP",0,Table2!F69)</f>
        <v>NA</v>
      </c>
      <c r="G34" s="310" t="str">
        <f>IF(Table2!G69="NP",0,Table2!G69)</f>
        <v>NA</v>
      </c>
      <c r="H34" s="311">
        <f t="shared" si="2"/>
        <v>0</v>
      </c>
      <c r="I34" s="310" t="str">
        <f>IF(Table2!I69="NP",0,Table2!I69)</f>
        <v>NA</v>
      </c>
      <c r="J34" s="310" t="str">
        <f>IF(Table2!J69="NP",0,Table2!J69)</f>
        <v>NA</v>
      </c>
      <c r="K34" s="311" t="str">
        <f>IF(Table2!K69="NP",0,Table2!K69)</f>
        <v>NA</v>
      </c>
      <c r="L34" s="310" t="str">
        <f>IF(Table2!L69="NP",0,Table2!L69)</f>
        <v>NA</v>
      </c>
      <c r="M34" s="312">
        <f t="shared" si="3"/>
        <v>0</v>
      </c>
      <c r="N34" s="310" t="str">
        <f>IF(Table2!N69="NP",0,Table2!N69)</f>
        <v>NA</v>
      </c>
      <c r="O34" s="339"/>
      <c r="P34" s="332"/>
      <c r="Q34" s="332"/>
      <c r="R34" s="333"/>
      <c r="S34" s="333"/>
      <c r="T34" s="333"/>
      <c r="U34" s="333"/>
      <c r="V34" s="333"/>
      <c r="W34" s="333"/>
      <c r="X34" s="334"/>
    </row>
    <row r="35" spans="1:24" ht="12.95" customHeight="1" x14ac:dyDescent="0.2">
      <c r="A35" s="143"/>
      <c r="B35" s="114" t="s">
        <v>1552</v>
      </c>
      <c r="C35" s="110" t="s">
        <v>559</v>
      </c>
      <c r="D35" s="119" t="s">
        <v>48</v>
      </c>
      <c r="E35" s="310" t="str">
        <f>IF(Table2!E70="NP",0,Table2!E70)</f>
        <v>NA</v>
      </c>
      <c r="F35" s="310" t="str">
        <f>IF(Table2!F70="NP",0,Table2!F70)</f>
        <v>NA</v>
      </c>
      <c r="G35" s="310" t="str">
        <f>IF(Table2!G70="NP",0,Table2!G70)</f>
        <v>NA</v>
      </c>
      <c r="H35" s="311">
        <f t="shared" si="2"/>
        <v>0</v>
      </c>
      <c r="I35" s="310" t="str">
        <f>IF(Table2!I70="NP",0,Table2!I70)</f>
        <v>NA</v>
      </c>
      <c r="J35" s="310" t="str">
        <f>IF(Table2!J70="NP",0,Table2!J70)</f>
        <v>NA</v>
      </c>
      <c r="K35" s="311" t="str">
        <f>IF(Table2!K70="NP",0,Table2!K70)</f>
        <v>NA</v>
      </c>
      <c r="L35" s="310" t="str">
        <f>IF(Table2!L70="NP",0,Table2!L70)</f>
        <v>NA</v>
      </c>
      <c r="M35" s="312">
        <f t="shared" si="3"/>
        <v>0</v>
      </c>
      <c r="N35" s="310" t="str">
        <f>IF(Table2!N70="NP",0,Table2!N70)</f>
        <v>NA</v>
      </c>
      <c r="O35" s="339"/>
      <c r="P35" s="340"/>
      <c r="Q35" s="332"/>
      <c r="R35" s="333"/>
      <c r="S35" s="333"/>
      <c r="T35" s="333"/>
      <c r="U35" s="333"/>
      <c r="V35" s="333"/>
      <c r="W35" s="333"/>
      <c r="X35" s="333"/>
    </row>
    <row r="36" spans="1:24" ht="12.95" customHeight="1" x14ac:dyDescent="0.2">
      <c r="A36" s="143"/>
      <c r="B36" s="114" t="s">
        <v>1553</v>
      </c>
      <c r="C36" s="110" t="s">
        <v>291</v>
      </c>
      <c r="D36" s="119" t="s">
        <v>48</v>
      </c>
      <c r="E36" s="310" t="str">
        <f>IF(Table2!E71="NP",0,Table2!E71)</f>
        <v>NA</v>
      </c>
      <c r="F36" s="310" t="str">
        <f>IF(Table2!F71="NP",0,Table2!F71)</f>
        <v>NA</v>
      </c>
      <c r="G36" s="310" t="str">
        <f>IF(Table2!G71="NP",0,Table2!G71)</f>
        <v>NA</v>
      </c>
      <c r="H36" s="311">
        <f t="shared" si="2"/>
        <v>0</v>
      </c>
      <c r="I36" s="310" t="str">
        <f>IF(Table2!I71="NP",0,Table2!I71)</f>
        <v>NA</v>
      </c>
      <c r="J36" s="310" t="str">
        <f>IF(Table2!J71="NP",0,Table2!J71)</f>
        <v>NA</v>
      </c>
      <c r="K36" s="311" t="str">
        <f>IF(Table2!K71="NP",0,Table2!K71)</f>
        <v>NA</v>
      </c>
      <c r="L36" s="310" t="str">
        <f>IF(Table2!L71="NP",0,Table2!L71)</f>
        <v>NA</v>
      </c>
      <c r="M36" s="312">
        <f t="shared" si="3"/>
        <v>0</v>
      </c>
      <c r="N36" s="310" t="str">
        <f>IF(Table2!N71="NP",0,Table2!N71)</f>
        <v>NA</v>
      </c>
      <c r="O36" s="339"/>
    </row>
    <row r="37" spans="1:24" x14ac:dyDescent="0.2">
      <c r="A37" s="143"/>
      <c r="B37" s="114" t="s">
        <v>1554</v>
      </c>
      <c r="C37" s="110" t="s">
        <v>292</v>
      </c>
      <c r="D37" s="119" t="s">
        <v>48</v>
      </c>
      <c r="E37" s="310" t="str">
        <f>IF(Table2!E72="NP",0,Table2!E72)</f>
        <v>NA</v>
      </c>
      <c r="F37" s="310" t="str">
        <f>IF(Table2!F72="NP",0,Table2!F72)</f>
        <v>NA</v>
      </c>
      <c r="G37" s="310" t="str">
        <f>IF(Table2!G72="NP",0,Table2!G72)</f>
        <v>NA</v>
      </c>
      <c r="H37" s="311">
        <f t="shared" si="2"/>
        <v>0</v>
      </c>
      <c r="I37" s="310" t="str">
        <f>IF(Table2!I72="NP",0,Table2!I72)</f>
        <v>NA</v>
      </c>
      <c r="J37" s="310" t="str">
        <f>IF(Table2!J72="NP",0,Table2!J72)</f>
        <v>NA</v>
      </c>
      <c r="K37" s="311" t="str">
        <f>IF(Table2!K72="NP",0,Table2!K72)</f>
        <v>NA</v>
      </c>
      <c r="L37" s="310" t="str">
        <f>IF(Table2!L72="NP",0,Table2!L72)</f>
        <v>NA</v>
      </c>
      <c r="M37" s="312">
        <f t="shared" si="3"/>
        <v>0</v>
      </c>
      <c r="N37" s="310" t="str">
        <f>IF(Table2!N72="NP",0,Table2!N72)</f>
        <v>NA</v>
      </c>
      <c r="O37" s="339"/>
    </row>
    <row r="38" spans="1:24" ht="12.95" customHeight="1" x14ac:dyDescent="0.2">
      <c r="A38" s="143"/>
      <c r="B38" s="115" t="s">
        <v>1555</v>
      </c>
      <c r="C38" s="113" t="s">
        <v>293</v>
      </c>
      <c r="D38" s="335" t="s">
        <v>48</v>
      </c>
      <c r="E38" s="336" t="str">
        <f>IF(Table2!E73="NP",0,Table2!E73)</f>
        <v>NA</v>
      </c>
      <c r="F38" s="336" t="str">
        <f>IF(Table2!F73="NP",0,Table2!F73)</f>
        <v>NA</v>
      </c>
      <c r="G38" s="336" t="str">
        <f>IF(Table2!G73="NP",0,Table2!G73)</f>
        <v>NA</v>
      </c>
      <c r="H38" s="337">
        <f t="shared" si="2"/>
        <v>0</v>
      </c>
      <c r="I38" s="336" t="str">
        <f>IF(Table2!I73="NP",0,Table2!I73)</f>
        <v>NA</v>
      </c>
      <c r="J38" s="336" t="str">
        <f>IF(Table2!J73="NP",0,Table2!J73)</f>
        <v>NA</v>
      </c>
      <c r="K38" s="337" t="str">
        <f>IF(Table2!K73="NP",0,Table2!K73)</f>
        <v>NA</v>
      </c>
      <c r="L38" s="336" t="str">
        <f>IF(Table2!L73="NP",0,Table2!L73)</f>
        <v>NA</v>
      </c>
      <c r="M38" s="338">
        <f t="shared" si="3"/>
        <v>0</v>
      </c>
      <c r="N38" s="336" t="str">
        <f>IF(Table2!N73="NP",0,Table2!N73)</f>
        <v>NA</v>
      </c>
    </row>
    <row r="39" spans="1:24" ht="12.95" customHeight="1" x14ac:dyDescent="0.2">
      <c r="A39" s="143"/>
    </row>
    <row r="40" spans="1:24" ht="12.95" customHeight="1" x14ac:dyDescent="0.2">
      <c r="A40" s="143"/>
      <c r="E40" s="298" t="s">
        <v>1421</v>
      </c>
      <c r="F40" s="299"/>
      <c r="G40" s="299"/>
      <c r="H40" s="299"/>
      <c r="I40" s="299"/>
      <c r="J40" s="299"/>
      <c r="K40" s="299"/>
      <c r="L40" s="299"/>
      <c r="M40" s="299"/>
      <c r="N40" s="300"/>
    </row>
    <row r="41" spans="1:24" ht="12.95" customHeight="1" x14ac:dyDescent="0.2">
      <c r="A41" s="143"/>
      <c r="E41" s="124" t="s">
        <v>632</v>
      </c>
      <c r="F41" s="125" t="s">
        <v>633</v>
      </c>
      <c r="G41" s="126" t="s">
        <v>155</v>
      </c>
      <c r="H41" s="125" t="s">
        <v>634</v>
      </c>
      <c r="I41" s="126" t="s">
        <v>635</v>
      </c>
      <c r="J41" s="125" t="s">
        <v>636</v>
      </c>
      <c r="K41" s="126" t="s">
        <v>637</v>
      </c>
      <c r="L41" s="125" t="s">
        <v>156</v>
      </c>
      <c r="M41" s="127" t="s">
        <v>638</v>
      </c>
      <c r="N41" s="127" t="s">
        <v>639</v>
      </c>
      <c r="P41" s="162"/>
      <c r="Q41" s="301"/>
      <c r="R41" s="805" t="s">
        <v>685</v>
      </c>
      <c r="S41" s="806"/>
      <c r="T41" s="806"/>
      <c r="U41" s="806"/>
      <c r="V41" s="806"/>
      <c r="W41" s="806"/>
      <c r="X41" s="807"/>
    </row>
    <row r="42" spans="1:24" ht="12.95" customHeight="1" x14ac:dyDescent="0.2">
      <c r="A42" s="143"/>
      <c r="B42" s="134" t="s">
        <v>1417</v>
      </c>
      <c r="C42" s="135"/>
      <c r="D42" s="304"/>
      <c r="E42" s="305"/>
      <c r="F42" s="305"/>
      <c r="G42" s="305"/>
      <c r="H42" s="306"/>
      <c r="I42" s="305"/>
      <c r="J42" s="305"/>
      <c r="K42" s="306"/>
      <c r="L42" s="305"/>
      <c r="M42" s="307"/>
      <c r="N42" s="305"/>
      <c r="P42" s="302" t="s">
        <v>28</v>
      </c>
      <c r="Q42" s="303"/>
      <c r="R42" s="810" t="s">
        <v>89</v>
      </c>
      <c r="S42" s="798" t="s">
        <v>90</v>
      </c>
      <c r="T42" s="798" t="s">
        <v>22</v>
      </c>
      <c r="U42" s="798" t="s">
        <v>21</v>
      </c>
      <c r="V42" s="798" t="s">
        <v>23</v>
      </c>
      <c r="W42" s="800" t="s">
        <v>24</v>
      </c>
      <c r="X42" s="808" t="s">
        <v>25</v>
      </c>
    </row>
    <row r="43" spans="1:24" ht="12.95" customHeight="1" x14ac:dyDescent="0.2">
      <c r="A43" s="143" t="s">
        <v>2329</v>
      </c>
      <c r="B43" s="114" t="s">
        <v>1456</v>
      </c>
      <c r="C43" s="110" t="s">
        <v>281</v>
      </c>
      <c r="D43" s="119" t="s">
        <v>48</v>
      </c>
      <c r="E43" s="80"/>
      <c r="F43" s="80"/>
      <c r="G43" s="80"/>
      <c r="H43" s="83"/>
      <c r="I43" s="80"/>
      <c r="J43" s="80"/>
      <c r="K43" s="80"/>
      <c r="L43" s="80"/>
      <c r="M43" s="84"/>
      <c r="N43" s="80"/>
      <c r="P43" s="308"/>
      <c r="Q43" s="309"/>
      <c r="R43" s="811"/>
      <c r="S43" s="799"/>
      <c r="T43" s="799"/>
      <c r="U43" s="799"/>
      <c r="V43" s="799"/>
      <c r="W43" s="801"/>
      <c r="X43" s="809"/>
    </row>
    <row r="44" spans="1:24" ht="12.95" customHeight="1" x14ac:dyDescent="0.2">
      <c r="A44" s="143" t="s">
        <v>2330</v>
      </c>
      <c r="B44" s="114" t="s">
        <v>1472</v>
      </c>
      <c r="C44" s="110" t="s">
        <v>295</v>
      </c>
      <c r="D44" s="119" t="s">
        <v>48</v>
      </c>
      <c r="E44" s="80"/>
      <c r="F44" s="80"/>
      <c r="G44" s="80"/>
      <c r="H44" s="83"/>
      <c r="I44" s="80"/>
      <c r="J44" s="80"/>
      <c r="K44" s="80"/>
      <c r="L44" s="80"/>
      <c r="M44" s="84"/>
      <c r="N44" s="80"/>
      <c r="P44" s="802" t="s">
        <v>692</v>
      </c>
      <c r="Q44" s="128" t="s">
        <v>89</v>
      </c>
      <c r="R44" s="313">
        <f>+IF(AND(E43=0,E50=0),0,"error")</f>
        <v>0</v>
      </c>
      <c r="S44" s="314">
        <f>+IF(ROUND(F43,1)=ROUND(E51,1),ROUND(F43,1),"error")</f>
        <v>0</v>
      </c>
      <c r="T44" s="314">
        <f>+IF(ROUND(H43,1)=ROUND(E52,1),ROUND(H43,1),"error")</f>
        <v>0</v>
      </c>
      <c r="U44" s="314">
        <f>+IF(ROUND(I43,1)=ROUND(E53,1),ROUND(I43,1),"error")</f>
        <v>0</v>
      </c>
      <c r="V44" s="314">
        <f>+IF(ROUND(J43,1)=ROUND(E54,1),ROUND(J43,1),"error")</f>
        <v>0</v>
      </c>
      <c r="W44" s="315">
        <f>+IF(ROUND(K43,1)=ROUND(E55,1),ROUND(K43,1),"error")</f>
        <v>0</v>
      </c>
      <c r="X44" s="316">
        <f>+IF(OR(R44="error",S44="error",U44="error",V44="error",W44="error"),"error",SUM(R44:S44,U44:W44))</f>
        <v>0</v>
      </c>
    </row>
    <row r="45" spans="1:24" ht="12.95" customHeight="1" x14ac:dyDescent="0.2">
      <c r="A45" s="143" t="s">
        <v>2331</v>
      </c>
      <c r="B45" s="114" t="s">
        <v>1488</v>
      </c>
      <c r="C45" s="110" t="s">
        <v>555</v>
      </c>
      <c r="D45" s="119" t="s">
        <v>48</v>
      </c>
      <c r="E45" s="80"/>
      <c r="F45" s="80"/>
      <c r="G45" s="80"/>
      <c r="H45" s="83"/>
      <c r="I45" s="80"/>
      <c r="J45" s="80"/>
      <c r="K45" s="80"/>
      <c r="L45" s="80"/>
      <c r="M45" s="84"/>
      <c r="N45" s="80"/>
      <c r="P45" s="803"/>
      <c r="Q45" s="129" t="s">
        <v>90</v>
      </c>
      <c r="R45" s="317">
        <f>+IF(ROUND(E44,1)=ROUND(F50,1),ROUND(E44,1),"error")</f>
        <v>0</v>
      </c>
      <c r="S45" s="318">
        <f>+IF(AND(F44=0,F51=0),0,"error")</f>
        <v>0</v>
      </c>
      <c r="T45" s="319">
        <f>+IF(ROUND(H44,1)=ROUND(F52,1),ROUND(H44,1),"error")</f>
        <v>0</v>
      </c>
      <c r="U45" s="319">
        <f>+IF(ROUND(I44,1)=ROUND(F53,1),ROUND(I44,1),"error")</f>
        <v>0</v>
      </c>
      <c r="V45" s="319">
        <f>+IF(ROUND(J44,1)=ROUND(F54,1),ROUND(J44,1),"error")</f>
        <v>0</v>
      </c>
      <c r="W45" s="320">
        <f>+IF(ROUND(K44,1)=ROUND(F55,1),ROUND(K44,1),"error")</f>
        <v>0</v>
      </c>
      <c r="X45" s="321">
        <f>+IF(OR(R45="error",S45="error",U45="error",V45="error",W45="error"),"error",SUM(R45:S45,U45:W45))</f>
        <v>0</v>
      </c>
    </row>
    <row r="46" spans="1:24" ht="12.95" customHeight="1" x14ac:dyDescent="0.2">
      <c r="A46" s="143" t="s">
        <v>2332</v>
      </c>
      <c r="B46" s="114" t="s">
        <v>1504</v>
      </c>
      <c r="C46" s="110" t="s">
        <v>282</v>
      </c>
      <c r="D46" s="119" t="s">
        <v>48</v>
      </c>
      <c r="E46" s="80"/>
      <c r="F46" s="80"/>
      <c r="G46" s="80"/>
      <c r="H46" s="83"/>
      <c r="I46" s="80"/>
      <c r="J46" s="80"/>
      <c r="K46" s="80"/>
      <c r="L46" s="80"/>
      <c r="M46" s="84"/>
      <c r="N46" s="80"/>
      <c r="P46" s="803"/>
      <c r="Q46" s="129" t="s">
        <v>22</v>
      </c>
      <c r="R46" s="317">
        <f>+IF(ROUND(E45,1)=ROUND(H50,1),ROUND(E45,1),"error")</f>
        <v>0</v>
      </c>
      <c r="S46" s="319">
        <f>+IF(ROUND(F45,1)=ROUND(H51,1),ROUND(F45,1),"error")</f>
        <v>0</v>
      </c>
      <c r="T46" s="318">
        <f>+IF(AND(H45=0,H52=0),0,"error")</f>
        <v>0</v>
      </c>
      <c r="U46" s="319">
        <f>+IF(ROUND(I45,1)=ROUND(H53,1),ROUND(I45,1),"error")</f>
        <v>0</v>
      </c>
      <c r="V46" s="319">
        <f>+IF(ROUND(J45,1)=ROUND(H54,1),ROUND(J45,1),"error")</f>
        <v>0</v>
      </c>
      <c r="W46" s="320">
        <f>+IF(ROUND(K45,1)=ROUND(H55,1),ROUND(K45,1),"error")</f>
        <v>0</v>
      </c>
      <c r="X46" s="321">
        <f>+IF(OR(T46="error",U46="error",V46="error",W46="error"),"error",SUM(T46:W46))</f>
        <v>0</v>
      </c>
    </row>
    <row r="47" spans="1:24" ht="12.95" customHeight="1" x14ac:dyDescent="0.2">
      <c r="A47" s="143" t="s">
        <v>2333</v>
      </c>
      <c r="B47" s="114" t="s">
        <v>1520</v>
      </c>
      <c r="C47" s="110" t="s">
        <v>283</v>
      </c>
      <c r="D47" s="119" t="s">
        <v>48</v>
      </c>
      <c r="E47" s="80"/>
      <c r="F47" s="80"/>
      <c r="G47" s="80"/>
      <c r="H47" s="83"/>
      <c r="I47" s="80"/>
      <c r="J47" s="80"/>
      <c r="K47" s="80"/>
      <c r="L47" s="80"/>
      <c r="M47" s="84"/>
      <c r="N47" s="80"/>
      <c r="P47" s="803"/>
      <c r="Q47" s="130" t="s">
        <v>21</v>
      </c>
      <c r="R47" s="322">
        <f>+IF(ROUND(E46,1)=ROUND(I50,1),ROUND(E46,1),"error")</f>
        <v>0</v>
      </c>
      <c r="S47" s="323">
        <f>+IF(ROUND(F46,1)=ROUND(I51,1),ROUND(F46,1),"error")</f>
        <v>0</v>
      </c>
      <c r="T47" s="323">
        <f>+IF(ROUND(H46,1)=ROUND(I52,1),ROUND(H46,1),"error")</f>
        <v>0</v>
      </c>
      <c r="U47" s="324">
        <f>+IF(AND(I46=0,I53=0),0,"error")</f>
        <v>0</v>
      </c>
      <c r="V47" s="323">
        <f>+IF(ROUND(J46,1)=ROUND(I54,1),ROUND(J46,1),"error")</f>
        <v>0</v>
      </c>
      <c r="W47" s="325">
        <f>+IF(ROUND(K46,1)=ROUND(I55,1),ROUND(K46,1),"error")</f>
        <v>0</v>
      </c>
      <c r="X47" s="321">
        <f>+IF(OR(R47="error",S47="error",U47="error",V47="error",W47="error"),"error",SUM(R47:S47,U47:W47))</f>
        <v>0</v>
      </c>
    </row>
    <row r="48" spans="1:24" ht="12.95" customHeight="1" x14ac:dyDescent="0.2">
      <c r="A48" s="143" t="s">
        <v>2334</v>
      </c>
      <c r="B48" s="114" t="s">
        <v>1536</v>
      </c>
      <c r="C48" s="110" t="s">
        <v>284</v>
      </c>
      <c r="D48" s="119" t="s">
        <v>48</v>
      </c>
      <c r="E48" s="80"/>
      <c r="F48" s="80"/>
      <c r="G48" s="80"/>
      <c r="H48" s="83"/>
      <c r="I48" s="80"/>
      <c r="J48" s="80"/>
      <c r="K48" s="80"/>
      <c r="L48" s="80"/>
      <c r="M48" s="84"/>
      <c r="N48" s="80"/>
      <c r="P48" s="803"/>
      <c r="Q48" s="129" t="s">
        <v>23</v>
      </c>
      <c r="R48" s="322">
        <f>+IF(ROUND(E47,1)=ROUND(J50,1),ROUND(E47,1),"error")</f>
        <v>0</v>
      </c>
      <c r="S48" s="323">
        <f>+IF(ROUND(F47,1)=ROUND(J51,1),ROUND(F47,1),"error")</f>
        <v>0</v>
      </c>
      <c r="T48" s="323">
        <f>+IF(ROUND(H47,1)=ROUND(J52,1),ROUND(H47,1),"error")</f>
        <v>0</v>
      </c>
      <c r="U48" s="326">
        <f>+IF(ROUND(I47,1)=ROUND(J53,1),ROUND(I47,1),"error")</f>
        <v>0</v>
      </c>
      <c r="V48" s="324">
        <f>+IF(AND(J47=0,J54=0),0,"error")</f>
        <v>0</v>
      </c>
      <c r="W48" s="325">
        <f>+IF(ROUND(K47,1)=ROUND(J55,1),ROUND(K47,1),"error")</f>
        <v>0</v>
      </c>
      <c r="X48" s="321">
        <f>+IF(OR(R48="error",S48="error",U48="error",V48="error",W48="error"),"error",SUM(R48:S48,U48:W48))</f>
        <v>0</v>
      </c>
    </row>
    <row r="49" spans="1:24" ht="12.95" customHeight="1" x14ac:dyDescent="0.2">
      <c r="A49" s="143"/>
      <c r="B49" s="117" t="s">
        <v>1418</v>
      </c>
      <c r="C49" s="133"/>
      <c r="D49" s="328"/>
      <c r="E49" s="310"/>
      <c r="F49" s="310"/>
      <c r="G49" s="310"/>
      <c r="H49" s="311"/>
      <c r="I49" s="310"/>
      <c r="J49" s="310"/>
      <c r="K49" s="311"/>
      <c r="L49" s="310"/>
      <c r="M49" s="312"/>
      <c r="N49" s="310"/>
      <c r="P49" s="803"/>
      <c r="Q49" s="131" t="s">
        <v>24</v>
      </c>
      <c r="R49" s="322">
        <f>+IF(ROUND(E48,1)=ROUND(K50,1),ROUND(E48,1),"error")</f>
        <v>0</v>
      </c>
      <c r="S49" s="323">
        <f>+IF(ROUND(F48,1)=ROUND(K51,1),ROUND(F48,1),"error")</f>
        <v>0</v>
      </c>
      <c r="T49" s="323">
        <f>+IF(ROUND(H48,1)=ROUND(K52,1),ROUND(H48,1),"error")</f>
        <v>0</v>
      </c>
      <c r="U49" s="326">
        <f>+IF(ROUND(I48,1)=ROUND(K53,1),ROUND(I48,1),"error")</f>
        <v>0</v>
      </c>
      <c r="V49" s="326">
        <f>+IF(ROUND(J48,1)=ROUND(K54,1),ROUND(J48,1),"error")</f>
        <v>0</v>
      </c>
      <c r="W49" s="327">
        <f>+IF(AND(K48=0,K55=0),0,"error")</f>
        <v>0</v>
      </c>
      <c r="X49" s="321">
        <f>+IF(OR(R49="error",S49="error",U49="error",V49="error",W49="error"),"error",SUM(R49:S49,U49:W49))</f>
        <v>0</v>
      </c>
    </row>
    <row r="50" spans="1:24" ht="12.95" customHeight="1" x14ac:dyDescent="0.2">
      <c r="A50" s="143" t="s">
        <v>2335</v>
      </c>
      <c r="B50" s="114" t="s">
        <v>1457</v>
      </c>
      <c r="C50" s="110" t="s">
        <v>290</v>
      </c>
      <c r="D50" s="119" t="s">
        <v>48</v>
      </c>
      <c r="E50" s="80"/>
      <c r="F50" s="80"/>
      <c r="G50" s="80"/>
      <c r="H50" s="83"/>
      <c r="I50" s="80"/>
      <c r="J50" s="80"/>
      <c r="K50" s="83"/>
      <c r="L50" s="80"/>
      <c r="M50" s="84"/>
      <c r="N50" s="80"/>
      <c r="P50" s="804"/>
      <c r="Q50" s="132" t="s">
        <v>26</v>
      </c>
      <c r="R50" s="329">
        <f>+IF(OR(R44="error",R45="error",R47="error",R48="error",R49="error"),"error",SUM(R44:R45,R47:R49))</f>
        <v>0</v>
      </c>
      <c r="S50" s="329">
        <f>+IF(OR(S44="error",S45="error",S47="error",S48="error",S49="error"),"error",SUM(S44:S45,S47:S49))</f>
        <v>0</v>
      </c>
      <c r="T50" s="330">
        <f>+IF(OR(T46="error",T47="error",T48="error",T49="error"),"error",SUM(T46:T49))</f>
        <v>0</v>
      </c>
      <c r="U50" s="330">
        <f>+IF(OR(U44="error",U45="error",U47="error",U48="error",U49="error"),"error",SUM(U44:U45,U47:U49))</f>
        <v>0</v>
      </c>
      <c r="V50" s="330">
        <f>+IF(OR(V44="error",V45="error",V47="error",V48="error",V49="error"),"error",SUM(V44:V45,V47:V49))</f>
        <v>0</v>
      </c>
      <c r="W50" s="330">
        <f>+IF(OR(W44="error",W45="error",W47="error",W48="error",W49="error"),"error",SUM(W44:W45,W47:W49))</f>
        <v>0</v>
      </c>
      <c r="X50" s="331"/>
    </row>
    <row r="51" spans="1:24" ht="12.95" customHeight="1" x14ac:dyDescent="0.2">
      <c r="A51" s="143" t="s">
        <v>2336</v>
      </c>
      <c r="B51" s="114" t="s">
        <v>1473</v>
      </c>
      <c r="C51" s="110" t="s">
        <v>294</v>
      </c>
      <c r="D51" s="119" t="s">
        <v>48</v>
      </c>
      <c r="E51" s="80"/>
      <c r="F51" s="80"/>
      <c r="G51" s="80"/>
      <c r="H51" s="83"/>
      <c r="I51" s="80"/>
      <c r="J51" s="80"/>
      <c r="K51" s="83"/>
      <c r="L51" s="80"/>
      <c r="M51" s="84"/>
      <c r="N51" s="80"/>
      <c r="P51" s="341"/>
      <c r="Q51" s="342"/>
      <c r="R51" s="343"/>
      <c r="S51" s="343"/>
      <c r="T51" s="343"/>
      <c r="U51" s="343"/>
      <c r="V51" s="343"/>
      <c r="W51" s="343"/>
      <c r="X51" s="334"/>
    </row>
    <row r="52" spans="1:24" ht="12.95" customHeight="1" x14ac:dyDescent="0.2">
      <c r="A52" s="143" t="s">
        <v>2337</v>
      </c>
      <c r="B52" s="114" t="s">
        <v>1489</v>
      </c>
      <c r="C52" s="110" t="s">
        <v>559</v>
      </c>
      <c r="D52" s="119" t="s">
        <v>48</v>
      </c>
      <c r="E52" s="80"/>
      <c r="F52" s="80"/>
      <c r="G52" s="80"/>
      <c r="H52" s="83"/>
      <c r="I52" s="80"/>
      <c r="J52" s="80"/>
      <c r="K52" s="83"/>
      <c r="L52" s="80"/>
      <c r="M52" s="84"/>
      <c r="N52" s="80"/>
      <c r="P52" s="340"/>
      <c r="Q52" s="332"/>
      <c r="R52" s="333"/>
      <c r="S52" s="333"/>
      <c r="T52" s="333"/>
      <c r="U52" s="333"/>
      <c r="V52" s="333"/>
      <c r="W52" s="333"/>
      <c r="X52" s="333"/>
    </row>
    <row r="53" spans="1:24" ht="12.95" customHeight="1" x14ac:dyDescent="0.2">
      <c r="A53" s="143" t="s">
        <v>2338</v>
      </c>
      <c r="B53" s="114" t="s">
        <v>1505</v>
      </c>
      <c r="C53" s="110" t="s">
        <v>291</v>
      </c>
      <c r="D53" s="119" t="s">
        <v>48</v>
      </c>
      <c r="E53" s="80"/>
      <c r="F53" s="80"/>
      <c r="G53" s="80"/>
      <c r="H53" s="83"/>
      <c r="I53" s="80"/>
      <c r="J53" s="80"/>
      <c r="K53" s="83"/>
      <c r="L53" s="80"/>
      <c r="M53" s="84"/>
      <c r="N53" s="80"/>
      <c r="P53" s="340"/>
      <c r="Q53" s="332"/>
      <c r="R53" s="333"/>
      <c r="S53" s="333"/>
      <c r="T53" s="333"/>
      <c r="U53" s="333"/>
      <c r="V53" s="333"/>
      <c r="W53" s="333"/>
      <c r="X53" s="333"/>
    </row>
    <row r="54" spans="1:24" ht="12.95" customHeight="1" x14ac:dyDescent="0.2">
      <c r="A54" s="143" t="s">
        <v>2339</v>
      </c>
      <c r="B54" s="114" t="s">
        <v>1521</v>
      </c>
      <c r="C54" s="110" t="s">
        <v>292</v>
      </c>
      <c r="D54" s="119" t="s">
        <v>48</v>
      </c>
      <c r="E54" s="80"/>
      <c r="F54" s="80"/>
      <c r="G54" s="80"/>
      <c r="H54" s="83"/>
      <c r="I54" s="80"/>
      <c r="J54" s="80"/>
      <c r="K54" s="83"/>
      <c r="L54" s="80"/>
      <c r="M54" s="84"/>
      <c r="N54" s="80"/>
      <c r="P54" s="340"/>
      <c r="Q54" s="332"/>
      <c r="R54" s="333"/>
      <c r="S54" s="333"/>
      <c r="T54" s="333"/>
      <c r="U54" s="333"/>
      <c r="V54" s="333"/>
      <c r="W54" s="333"/>
      <c r="X54" s="333"/>
    </row>
    <row r="55" spans="1:24" ht="12.95" customHeight="1" x14ac:dyDescent="0.2">
      <c r="A55" s="143" t="s">
        <v>2340</v>
      </c>
      <c r="B55" s="115" t="s">
        <v>1537</v>
      </c>
      <c r="C55" s="113" t="s">
        <v>293</v>
      </c>
      <c r="D55" s="335" t="s">
        <v>48</v>
      </c>
      <c r="E55" s="82"/>
      <c r="F55" s="82"/>
      <c r="G55" s="82"/>
      <c r="H55" s="85"/>
      <c r="I55" s="82"/>
      <c r="J55" s="82"/>
      <c r="K55" s="85"/>
      <c r="L55" s="82"/>
      <c r="M55" s="86"/>
      <c r="N55" s="82"/>
      <c r="P55" s="340"/>
      <c r="Q55" s="332"/>
      <c r="R55" s="333"/>
      <c r="S55" s="333"/>
      <c r="T55" s="333"/>
      <c r="U55" s="333"/>
      <c r="V55" s="333"/>
      <c r="W55" s="333"/>
      <c r="X55" s="333"/>
    </row>
    <row r="56" spans="1:24" ht="12.95" customHeight="1" x14ac:dyDescent="0.2">
      <c r="A56" s="143"/>
      <c r="P56" s="340"/>
      <c r="Q56" s="332"/>
      <c r="R56" s="333"/>
      <c r="S56" s="333"/>
      <c r="T56" s="333"/>
      <c r="U56" s="333"/>
      <c r="V56" s="333"/>
      <c r="W56" s="333"/>
      <c r="X56" s="333"/>
    </row>
    <row r="57" spans="1:24" ht="12.95" customHeight="1" x14ac:dyDescent="0.2">
      <c r="A57" s="143"/>
      <c r="E57" s="298" t="s">
        <v>1422</v>
      </c>
      <c r="F57" s="299"/>
      <c r="G57" s="299"/>
      <c r="H57" s="299"/>
      <c r="I57" s="299"/>
      <c r="J57" s="299"/>
      <c r="K57" s="299"/>
      <c r="L57" s="299"/>
      <c r="M57" s="299"/>
      <c r="N57" s="300"/>
      <c r="P57" s="340"/>
      <c r="Q57" s="332"/>
      <c r="R57" s="333"/>
      <c r="S57" s="333"/>
      <c r="T57" s="333"/>
      <c r="U57" s="333"/>
      <c r="V57" s="333"/>
      <c r="W57" s="333"/>
      <c r="X57" s="333"/>
    </row>
    <row r="58" spans="1:24" ht="12.95" customHeight="1" x14ac:dyDescent="0.2">
      <c r="A58" s="143"/>
      <c r="E58" s="124" t="s">
        <v>632</v>
      </c>
      <c r="F58" s="125" t="s">
        <v>633</v>
      </c>
      <c r="G58" s="126" t="s">
        <v>155</v>
      </c>
      <c r="H58" s="125" t="s">
        <v>634</v>
      </c>
      <c r="I58" s="126" t="s">
        <v>635</v>
      </c>
      <c r="J58" s="125" t="s">
        <v>636</v>
      </c>
      <c r="K58" s="126" t="s">
        <v>637</v>
      </c>
      <c r="L58" s="125" t="s">
        <v>156</v>
      </c>
      <c r="M58" s="127" t="s">
        <v>638</v>
      </c>
      <c r="N58" s="127" t="s">
        <v>639</v>
      </c>
      <c r="P58" s="162"/>
      <c r="Q58" s="301"/>
      <c r="R58" s="805" t="s">
        <v>2447</v>
      </c>
      <c r="S58" s="806"/>
      <c r="T58" s="806"/>
      <c r="U58" s="806"/>
      <c r="V58" s="806"/>
      <c r="W58" s="806"/>
      <c r="X58" s="807"/>
    </row>
    <row r="59" spans="1:24" x14ac:dyDescent="0.2">
      <c r="A59" s="143"/>
      <c r="B59" s="134" t="s">
        <v>1419</v>
      </c>
      <c r="C59" s="135"/>
      <c r="D59" s="304"/>
      <c r="E59" s="305"/>
      <c r="F59" s="305"/>
      <c r="G59" s="305"/>
      <c r="H59" s="306"/>
      <c r="I59" s="305"/>
      <c r="J59" s="305"/>
      <c r="K59" s="306"/>
      <c r="L59" s="305"/>
      <c r="M59" s="307"/>
      <c r="N59" s="305"/>
      <c r="P59" s="302" t="s">
        <v>29</v>
      </c>
      <c r="Q59" s="303"/>
      <c r="R59" s="810" t="s">
        <v>89</v>
      </c>
      <c r="S59" s="798" t="s">
        <v>90</v>
      </c>
      <c r="T59" s="798" t="s">
        <v>22</v>
      </c>
      <c r="U59" s="798" t="s">
        <v>21</v>
      </c>
      <c r="V59" s="798" t="s">
        <v>23</v>
      </c>
      <c r="W59" s="800" t="s">
        <v>24</v>
      </c>
      <c r="X59" s="808" t="s">
        <v>25</v>
      </c>
    </row>
    <row r="60" spans="1:24" ht="12.95" customHeight="1" x14ac:dyDescent="0.2">
      <c r="A60" s="143" t="s">
        <v>2341</v>
      </c>
      <c r="B60" s="114" t="s">
        <v>1458</v>
      </c>
      <c r="C60" s="110" t="s">
        <v>281</v>
      </c>
      <c r="D60" s="119" t="s">
        <v>48</v>
      </c>
      <c r="E60" s="80"/>
      <c r="F60" s="80"/>
      <c r="G60" s="80"/>
      <c r="H60" s="83"/>
      <c r="I60" s="80"/>
      <c r="J60" s="80"/>
      <c r="K60" s="80"/>
      <c r="L60" s="80"/>
      <c r="M60" s="84"/>
      <c r="N60" s="80"/>
      <c r="P60" s="308"/>
      <c r="Q60" s="309"/>
      <c r="R60" s="811"/>
      <c r="S60" s="799"/>
      <c r="T60" s="799"/>
      <c r="U60" s="799"/>
      <c r="V60" s="799"/>
      <c r="W60" s="801"/>
      <c r="X60" s="809"/>
    </row>
    <row r="61" spans="1:24" ht="12.95" customHeight="1" x14ac:dyDescent="0.2">
      <c r="A61" s="143" t="s">
        <v>2342</v>
      </c>
      <c r="B61" s="114" t="s">
        <v>1474</v>
      </c>
      <c r="C61" s="110" t="s">
        <v>295</v>
      </c>
      <c r="D61" s="119" t="s">
        <v>48</v>
      </c>
      <c r="E61" s="80"/>
      <c r="F61" s="80"/>
      <c r="G61" s="80"/>
      <c r="H61" s="83"/>
      <c r="I61" s="80"/>
      <c r="J61" s="80"/>
      <c r="K61" s="80"/>
      <c r="L61" s="80"/>
      <c r="M61" s="84"/>
      <c r="N61" s="80"/>
      <c r="P61" s="802" t="s">
        <v>2446</v>
      </c>
      <c r="Q61" s="128" t="s">
        <v>89</v>
      </c>
      <c r="R61" s="313">
        <f>+IF(AND(E60=0,E67=0),0,"error")</f>
        <v>0</v>
      </c>
      <c r="S61" s="314">
        <f>+IF(ROUND(F60,1)=ROUND(E68,1),ROUND(F60,1),"error")</f>
        <v>0</v>
      </c>
      <c r="T61" s="314">
        <f>+IF(ROUND(H60,1)=ROUND(E69,1),ROUND(H60,1),"error")</f>
        <v>0</v>
      </c>
      <c r="U61" s="314">
        <f>+IF(ROUND(I60,1)=ROUND(E70,1),ROUND(I60,1),"error")</f>
        <v>0</v>
      </c>
      <c r="V61" s="314">
        <f>+IF(ROUND(J60,1)=ROUND(E71,1),ROUND(J60,1),"error")</f>
        <v>0</v>
      </c>
      <c r="W61" s="315">
        <f>+IF(ROUND(K60,1)=ROUND(E72,1),ROUND(K60,1),"error")</f>
        <v>0</v>
      </c>
      <c r="X61" s="316">
        <f>+IF(OR(R61="error",S61="error",U61="error",V61="error",W61="error"),"error",SUM(R61:S61,U61:W61))</f>
        <v>0</v>
      </c>
    </row>
    <row r="62" spans="1:24" ht="12.95" customHeight="1" x14ac:dyDescent="0.2">
      <c r="A62" s="143" t="s">
        <v>2343</v>
      </c>
      <c r="B62" s="114" t="s">
        <v>1490</v>
      </c>
      <c r="C62" s="110" t="s">
        <v>555</v>
      </c>
      <c r="D62" s="119" t="s">
        <v>48</v>
      </c>
      <c r="E62" s="80"/>
      <c r="F62" s="80"/>
      <c r="G62" s="80"/>
      <c r="H62" s="83"/>
      <c r="I62" s="80"/>
      <c r="J62" s="80"/>
      <c r="K62" s="80"/>
      <c r="L62" s="80"/>
      <c r="M62" s="84"/>
      <c r="N62" s="80"/>
      <c r="P62" s="803"/>
      <c r="Q62" s="129" t="s">
        <v>90</v>
      </c>
      <c r="R62" s="317">
        <f>+IF(ROUND(E61,1)=ROUND(F67,1),ROUND(E61,1),"error")</f>
        <v>0</v>
      </c>
      <c r="S62" s="318">
        <f>+IF(AND(F61=0,F68=0),0,"error")</f>
        <v>0</v>
      </c>
      <c r="T62" s="319">
        <f>+IF(ROUND(H61,1)=ROUND(F69,1),ROUND(H61,1),"error")</f>
        <v>0</v>
      </c>
      <c r="U62" s="319">
        <f>+IF(ROUND(I61,1)=ROUND(F70,1),ROUND(I61,1),"error")</f>
        <v>0</v>
      </c>
      <c r="V62" s="319">
        <f>+IF(ROUND(J61,1)=ROUND(F71,1),ROUND(J61,1),"error")</f>
        <v>0</v>
      </c>
      <c r="W62" s="320">
        <f>+IF(ROUND(K61,1)=ROUND(F72,1),ROUND(K61,1),"error")</f>
        <v>0</v>
      </c>
      <c r="X62" s="321">
        <f>+IF(OR(R62="error",S62="error",U62="error",V62="error",W62="error"),"error",SUM(R62:S62,U62:W62))</f>
        <v>0</v>
      </c>
    </row>
    <row r="63" spans="1:24" ht="12.95" customHeight="1" x14ac:dyDescent="0.2">
      <c r="A63" s="143" t="s">
        <v>2344</v>
      </c>
      <c r="B63" s="114" t="s">
        <v>1506</v>
      </c>
      <c r="C63" s="110" t="s">
        <v>282</v>
      </c>
      <c r="D63" s="119" t="s">
        <v>48</v>
      </c>
      <c r="E63" s="80"/>
      <c r="F63" s="80"/>
      <c r="G63" s="80"/>
      <c r="H63" s="83"/>
      <c r="I63" s="80"/>
      <c r="J63" s="80"/>
      <c r="K63" s="80"/>
      <c r="L63" s="80"/>
      <c r="M63" s="84"/>
      <c r="N63" s="80"/>
      <c r="P63" s="803"/>
      <c r="Q63" s="129" t="s">
        <v>22</v>
      </c>
      <c r="R63" s="317">
        <f>+IF(ROUND(E62,1)=ROUND(H67,1),ROUND(E62,1),"error")</f>
        <v>0</v>
      </c>
      <c r="S63" s="319">
        <f>+IF(ROUND(F62,1)=ROUND(H68,1),ROUND(F62,1),"error")</f>
        <v>0</v>
      </c>
      <c r="T63" s="318">
        <f>+IF(AND(H62=0,H69=0),0,"error")</f>
        <v>0</v>
      </c>
      <c r="U63" s="319">
        <f>+IF(ROUND(I62,1)=ROUND(H70,1),ROUND(I62,1),"error")</f>
        <v>0</v>
      </c>
      <c r="V63" s="319">
        <f>+IF(ROUND(J62,1)=ROUND(H71,1),ROUND(J62,1),"error")</f>
        <v>0</v>
      </c>
      <c r="W63" s="320">
        <f>+IF(ROUND(K62,1)=ROUND(H72,1),ROUND(K62,1),"error")</f>
        <v>0</v>
      </c>
      <c r="X63" s="321">
        <f>+IF(OR(T63="error",U63="error",V63="error",W63="error"),"error",SUM(T63:W63))</f>
        <v>0</v>
      </c>
    </row>
    <row r="64" spans="1:24" ht="12.95" customHeight="1" x14ac:dyDescent="0.2">
      <c r="A64" s="143" t="s">
        <v>2345</v>
      </c>
      <c r="B64" s="114" t="s">
        <v>1522</v>
      </c>
      <c r="C64" s="110" t="s">
        <v>283</v>
      </c>
      <c r="D64" s="119" t="s">
        <v>48</v>
      </c>
      <c r="E64" s="80"/>
      <c r="F64" s="80"/>
      <c r="G64" s="80"/>
      <c r="H64" s="83"/>
      <c r="I64" s="80"/>
      <c r="J64" s="80"/>
      <c r="K64" s="80"/>
      <c r="L64" s="80"/>
      <c r="M64" s="84"/>
      <c r="N64" s="80"/>
      <c r="P64" s="803"/>
      <c r="Q64" s="130" t="s">
        <v>21</v>
      </c>
      <c r="R64" s="322">
        <f>+IF(ROUND(E63,1)=ROUND(I67,1),ROUND(E63,1),"error")</f>
        <v>0</v>
      </c>
      <c r="S64" s="323">
        <f>+IF(ROUND(F63,1)=ROUND(I68,1),ROUND(F63,1),"error")</f>
        <v>0</v>
      </c>
      <c r="T64" s="323">
        <f>+IF(ROUND(H63,1)=ROUND(I69,1),ROUND(H63,1),"error")</f>
        <v>0</v>
      </c>
      <c r="U64" s="324">
        <f>+IF(AND(I63=0,I70=0),0,"error")</f>
        <v>0</v>
      </c>
      <c r="V64" s="323">
        <f>+IF(ROUND(J63,1)=ROUND(I71,1),ROUND(J63,1),"error")</f>
        <v>0</v>
      </c>
      <c r="W64" s="325">
        <f>+IF(ROUND(K63,1)=ROUND(I72,1),ROUND(K63,1),"error")</f>
        <v>0</v>
      </c>
      <c r="X64" s="321">
        <f>+IF(OR(R64="error",S64="error",U64="error",V64="error",W64="error"),"error",SUM(R64:S64,U64:W64))</f>
        <v>0</v>
      </c>
    </row>
    <row r="65" spans="1:24" ht="12.95" customHeight="1" x14ac:dyDescent="0.2">
      <c r="A65" s="143" t="s">
        <v>2346</v>
      </c>
      <c r="B65" s="114" t="s">
        <v>1538</v>
      </c>
      <c r="C65" s="110" t="s">
        <v>284</v>
      </c>
      <c r="D65" s="119" t="s">
        <v>48</v>
      </c>
      <c r="E65" s="80"/>
      <c r="F65" s="80"/>
      <c r="G65" s="80"/>
      <c r="H65" s="83"/>
      <c r="I65" s="80"/>
      <c r="J65" s="80"/>
      <c r="K65" s="80"/>
      <c r="L65" s="80"/>
      <c r="M65" s="84"/>
      <c r="N65" s="80"/>
      <c r="P65" s="803"/>
      <c r="Q65" s="129" t="s">
        <v>23</v>
      </c>
      <c r="R65" s="322">
        <f>+IF(ROUND(E64,1)=ROUND(J67,1),ROUND(E64,1),"error")</f>
        <v>0</v>
      </c>
      <c r="S65" s="323">
        <f>+IF(ROUND(F64,1)=ROUND(J68,1),ROUND(F64,1),"error")</f>
        <v>0</v>
      </c>
      <c r="T65" s="323">
        <f>+IF(ROUND(H64,1)=ROUND(J69,1),ROUND(H64,1),"error")</f>
        <v>0</v>
      </c>
      <c r="U65" s="326">
        <f>+IF(ROUND(I64,1)=ROUND(J70,1),ROUND(I64,1),"error")</f>
        <v>0</v>
      </c>
      <c r="V65" s="324">
        <f>+IF(AND(J64=0,J71=0),0,"error")</f>
        <v>0</v>
      </c>
      <c r="W65" s="325">
        <f>+IF(ROUND(K64,1)=ROUND(J72,1),ROUND(K64,1),"error")</f>
        <v>0</v>
      </c>
      <c r="X65" s="321">
        <f>+IF(OR(R65="error",S65="error",U65="error",V65="error",W65="error"),"error",SUM(R65:S65,U65:W65))</f>
        <v>0</v>
      </c>
    </row>
    <row r="66" spans="1:24" ht="12.95" customHeight="1" x14ac:dyDescent="0.2">
      <c r="A66" s="143"/>
      <c r="B66" s="117" t="s">
        <v>1420</v>
      </c>
      <c r="C66" s="133"/>
      <c r="D66" s="328"/>
      <c r="E66" s="310"/>
      <c r="F66" s="310"/>
      <c r="G66" s="310"/>
      <c r="H66" s="311"/>
      <c r="I66" s="310"/>
      <c r="J66" s="310"/>
      <c r="K66" s="311"/>
      <c r="L66" s="310"/>
      <c r="M66" s="312"/>
      <c r="N66" s="310"/>
      <c r="P66" s="803"/>
      <c r="Q66" s="131" t="s">
        <v>24</v>
      </c>
      <c r="R66" s="322">
        <f>+IF(ROUND(E65,1)=ROUND(K67,1),ROUND(E65,1),"error")</f>
        <v>0</v>
      </c>
      <c r="S66" s="323">
        <f>+IF(ROUND(F65,1)=ROUND(K68,1),ROUND(F65,1),"error")</f>
        <v>0</v>
      </c>
      <c r="T66" s="323">
        <f>+IF(ROUND(H65,1)=ROUND(K69,1),ROUND(H65,1),"error")</f>
        <v>0</v>
      </c>
      <c r="U66" s="326">
        <f>+IF(ROUND(I65,1)=ROUND(K70,1),ROUND(I65,1),"error")</f>
        <v>0</v>
      </c>
      <c r="V66" s="326">
        <f>+IF(ROUND(J65,1)=ROUND(K71,1),ROUND(J65,1),"error")</f>
        <v>0</v>
      </c>
      <c r="W66" s="327">
        <f>+IF(AND(K65=0,K72=0),0,"error")</f>
        <v>0</v>
      </c>
      <c r="X66" s="321">
        <f>+IF(OR(R66="error",S66="error",U66="error",V66="error",W66="error"),"error",SUM(R66:S66,U66:W66))</f>
        <v>0</v>
      </c>
    </row>
    <row r="67" spans="1:24" ht="12.95" customHeight="1" x14ac:dyDescent="0.2">
      <c r="A67" s="143" t="s">
        <v>2347</v>
      </c>
      <c r="B67" s="114" t="s">
        <v>1459</v>
      </c>
      <c r="C67" s="110" t="s">
        <v>290</v>
      </c>
      <c r="D67" s="119" t="s">
        <v>48</v>
      </c>
      <c r="E67" s="80"/>
      <c r="F67" s="80"/>
      <c r="G67" s="80"/>
      <c r="H67" s="83"/>
      <c r="I67" s="80"/>
      <c r="J67" s="80"/>
      <c r="K67" s="83"/>
      <c r="L67" s="80"/>
      <c r="M67" s="84"/>
      <c r="N67" s="80"/>
      <c r="P67" s="804"/>
      <c r="Q67" s="132" t="s">
        <v>26</v>
      </c>
      <c r="R67" s="329">
        <f>+IF(OR(R61="error",R62="error",R64="error",R65="error",R66="error"),"error",SUM(R61:R62,R64:R66))</f>
        <v>0</v>
      </c>
      <c r="S67" s="329">
        <f>+IF(OR(S61="error",S62="error",S64="error",S65="error",S66="error"),"error",SUM(S61:S62,S64:S66))</f>
        <v>0</v>
      </c>
      <c r="T67" s="330">
        <f>+IF(OR(T63="error",T64="error",T65="error",T66="error"),"error",SUM(T63:T66))</f>
        <v>0</v>
      </c>
      <c r="U67" s="330">
        <f>+IF(OR(U61="error",U62="error",U64="error",U65="error",U66="error"),"error",SUM(U61:U62,U64:U66))</f>
        <v>0</v>
      </c>
      <c r="V67" s="330">
        <f>+IF(OR(V61="error",V62="error",V64="error",V65="error",V66="error"),"error",SUM(V61:V62,V64:V66))</f>
        <v>0</v>
      </c>
      <c r="W67" s="330">
        <f>+IF(OR(W61="error",W62="error",W64="error",W65="error",W66="error"),"error",SUM(W61:W62,W64:W66))</f>
        <v>0</v>
      </c>
      <c r="X67" s="331"/>
    </row>
    <row r="68" spans="1:24" ht="12.95" customHeight="1" x14ac:dyDescent="0.2">
      <c r="A68" s="143" t="s">
        <v>2348</v>
      </c>
      <c r="B68" s="114" t="s">
        <v>1475</v>
      </c>
      <c r="C68" s="110" t="s">
        <v>294</v>
      </c>
      <c r="D68" s="119" t="s">
        <v>48</v>
      </c>
      <c r="E68" s="80"/>
      <c r="F68" s="80"/>
      <c r="G68" s="80"/>
      <c r="H68" s="83"/>
      <c r="I68" s="80"/>
      <c r="J68" s="80"/>
      <c r="K68" s="83"/>
      <c r="L68" s="80"/>
      <c r="M68" s="84"/>
      <c r="N68" s="80"/>
      <c r="P68" s="341"/>
      <c r="Q68" s="342"/>
      <c r="R68" s="343"/>
      <c r="S68" s="343"/>
      <c r="T68" s="343"/>
      <c r="U68" s="343"/>
      <c r="V68" s="343"/>
      <c r="W68" s="343"/>
      <c r="X68" s="334"/>
    </row>
    <row r="69" spans="1:24" ht="12.95" customHeight="1" x14ac:dyDescent="0.2">
      <c r="A69" s="143" t="s">
        <v>2349</v>
      </c>
      <c r="B69" s="114" t="s">
        <v>1491</v>
      </c>
      <c r="C69" s="110" t="s">
        <v>559</v>
      </c>
      <c r="D69" s="119" t="s">
        <v>48</v>
      </c>
      <c r="E69" s="80"/>
      <c r="F69" s="80"/>
      <c r="G69" s="80"/>
      <c r="H69" s="83"/>
      <c r="I69" s="80"/>
      <c r="J69" s="80"/>
      <c r="K69" s="83"/>
      <c r="L69" s="80"/>
      <c r="M69" s="84"/>
      <c r="N69" s="80"/>
      <c r="P69" s="340"/>
      <c r="Q69" s="332"/>
      <c r="R69" s="333"/>
      <c r="S69" s="333"/>
      <c r="T69" s="333"/>
      <c r="U69" s="333"/>
      <c r="V69" s="333"/>
      <c r="W69" s="333"/>
      <c r="X69" s="333"/>
    </row>
    <row r="70" spans="1:24" ht="12.95" customHeight="1" x14ac:dyDescent="0.2">
      <c r="A70" s="143" t="s">
        <v>2350</v>
      </c>
      <c r="B70" s="114" t="s">
        <v>1507</v>
      </c>
      <c r="C70" s="110" t="s">
        <v>291</v>
      </c>
      <c r="D70" s="119" t="s">
        <v>48</v>
      </c>
      <c r="E70" s="80"/>
      <c r="F70" s="80"/>
      <c r="G70" s="80"/>
      <c r="H70" s="83"/>
      <c r="I70" s="80"/>
      <c r="J70" s="80"/>
      <c r="K70" s="83"/>
      <c r="L70" s="80"/>
      <c r="M70" s="84"/>
      <c r="N70" s="80"/>
      <c r="P70" s="340"/>
      <c r="Q70" s="332"/>
      <c r="R70" s="333"/>
      <c r="S70" s="333"/>
      <c r="T70" s="333"/>
      <c r="U70" s="333"/>
      <c r="V70" s="333"/>
      <c r="W70" s="333"/>
      <c r="X70" s="333"/>
    </row>
    <row r="71" spans="1:24" ht="12.95" customHeight="1" x14ac:dyDescent="0.2">
      <c r="A71" s="143" t="s">
        <v>2351</v>
      </c>
      <c r="B71" s="114" t="s">
        <v>1523</v>
      </c>
      <c r="C71" s="110" t="s">
        <v>292</v>
      </c>
      <c r="D71" s="119" t="s">
        <v>48</v>
      </c>
      <c r="E71" s="80"/>
      <c r="F71" s="80"/>
      <c r="G71" s="80"/>
      <c r="H71" s="83"/>
      <c r="I71" s="80"/>
      <c r="J71" s="80"/>
      <c r="K71" s="83"/>
      <c r="L71" s="80"/>
      <c r="M71" s="84"/>
      <c r="N71" s="80"/>
      <c r="P71" s="340"/>
      <c r="Q71" s="332"/>
      <c r="R71" s="333"/>
      <c r="S71" s="333"/>
      <c r="T71" s="333"/>
      <c r="U71" s="333"/>
      <c r="V71" s="333"/>
      <c r="W71" s="333"/>
      <c r="X71" s="333"/>
    </row>
    <row r="72" spans="1:24" ht="12.95" customHeight="1" x14ac:dyDescent="0.2">
      <c r="A72" s="143" t="s">
        <v>2352</v>
      </c>
      <c r="B72" s="115" t="s">
        <v>1539</v>
      </c>
      <c r="C72" s="113" t="s">
        <v>293</v>
      </c>
      <c r="D72" s="335" t="s">
        <v>48</v>
      </c>
      <c r="E72" s="82"/>
      <c r="F72" s="82"/>
      <c r="G72" s="82"/>
      <c r="H72" s="85"/>
      <c r="I72" s="82"/>
      <c r="J72" s="82"/>
      <c r="K72" s="85"/>
      <c r="L72" s="82"/>
      <c r="M72" s="86"/>
      <c r="N72" s="82"/>
      <c r="P72" s="340"/>
      <c r="Q72" s="332"/>
      <c r="R72" s="333"/>
      <c r="S72" s="333"/>
      <c r="T72" s="333"/>
      <c r="U72" s="333"/>
      <c r="V72" s="333"/>
      <c r="W72" s="333"/>
      <c r="X72" s="333"/>
    </row>
    <row r="73" spans="1:24" ht="12.95" customHeight="1" x14ac:dyDescent="0.2">
      <c r="A73" s="143"/>
      <c r="P73" s="340"/>
      <c r="Q73" s="332"/>
      <c r="R73" s="333"/>
      <c r="S73" s="333"/>
      <c r="T73" s="333"/>
      <c r="U73" s="333"/>
      <c r="V73" s="333"/>
      <c r="W73" s="333"/>
      <c r="X73" s="333"/>
    </row>
    <row r="74" spans="1:24" ht="12.95" customHeight="1" x14ac:dyDescent="0.2">
      <c r="A74" s="143"/>
      <c r="E74" s="298" t="s">
        <v>683</v>
      </c>
      <c r="F74" s="299"/>
      <c r="G74" s="299"/>
      <c r="H74" s="299"/>
      <c r="I74" s="299"/>
      <c r="J74" s="299"/>
      <c r="K74" s="299"/>
      <c r="L74" s="299"/>
      <c r="M74" s="299"/>
      <c r="N74" s="300"/>
      <c r="P74" s="340"/>
      <c r="Q74" s="332"/>
      <c r="R74" s="333"/>
      <c r="S74" s="333"/>
      <c r="T74" s="333"/>
      <c r="U74" s="333"/>
      <c r="V74" s="333"/>
      <c r="W74" s="333"/>
      <c r="X74" s="333"/>
    </row>
    <row r="75" spans="1:24" ht="12.95" customHeight="1" x14ac:dyDescent="0.2">
      <c r="A75" s="143"/>
      <c r="E75" s="124" t="s">
        <v>632</v>
      </c>
      <c r="F75" s="125" t="s">
        <v>633</v>
      </c>
      <c r="G75" s="126" t="s">
        <v>155</v>
      </c>
      <c r="H75" s="125" t="s">
        <v>634</v>
      </c>
      <c r="I75" s="126" t="s">
        <v>635</v>
      </c>
      <c r="J75" s="125" t="s">
        <v>636</v>
      </c>
      <c r="K75" s="126" t="s">
        <v>637</v>
      </c>
      <c r="L75" s="125" t="s">
        <v>156</v>
      </c>
      <c r="M75" s="127" t="s">
        <v>638</v>
      </c>
      <c r="N75" s="127" t="s">
        <v>639</v>
      </c>
      <c r="P75" s="162"/>
      <c r="Q75" s="301"/>
      <c r="R75" s="815" t="s">
        <v>686</v>
      </c>
      <c r="S75" s="806"/>
      <c r="T75" s="806"/>
      <c r="U75" s="806"/>
      <c r="V75" s="806"/>
      <c r="W75" s="806"/>
      <c r="X75" s="807"/>
    </row>
    <row r="76" spans="1:24" x14ac:dyDescent="0.2">
      <c r="A76" s="143"/>
      <c r="B76" s="134" t="s">
        <v>681</v>
      </c>
      <c r="C76" s="135"/>
      <c r="D76" s="304"/>
      <c r="E76" s="305"/>
      <c r="F76" s="305"/>
      <c r="G76" s="305"/>
      <c r="H76" s="306"/>
      <c r="I76" s="305"/>
      <c r="J76" s="305"/>
      <c r="K76" s="306"/>
      <c r="L76" s="305"/>
      <c r="M76" s="307"/>
      <c r="N76" s="305"/>
      <c r="P76" s="302" t="s">
        <v>675</v>
      </c>
      <c r="Q76" s="303"/>
      <c r="R76" s="810" t="s">
        <v>89</v>
      </c>
      <c r="S76" s="798" t="s">
        <v>90</v>
      </c>
      <c r="T76" s="798" t="s">
        <v>22</v>
      </c>
      <c r="U76" s="798" t="s">
        <v>21</v>
      </c>
      <c r="V76" s="798" t="s">
        <v>23</v>
      </c>
      <c r="W76" s="800" t="s">
        <v>24</v>
      </c>
      <c r="X76" s="808" t="s">
        <v>25</v>
      </c>
    </row>
    <row r="77" spans="1:24" ht="12.95" customHeight="1" x14ac:dyDescent="0.2">
      <c r="A77" s="143"/>
      <c r="B77" s="114" t="s">
        <v>1460</v>
      </c>
      <c r="C77" s="110" t="s">
        <v>281</v>
      </c>
      <c r="D77" s="119" t="s">
        <v>48</v>
      </c>
      <c r="E77" s="310" t="str">
        <f>IF(Table1!E109="NP",0,Table1!E109)</f>
        <v>NA</v>
      </c>
      <c r="F77" s="310" t="str">
        <f>IF(Table1!F109="NP",0,Table1!F109)</f>
        <v>NA</v>
      </c>
      <c r="G77" s="310" t="str">
        <f>IF(Table1!G109="NP",0,Table1!G109)</f>
        <v>NA</v>
      </c>
      <c r="H77" s="311">
        <f t="shared" ref="H77:H82" si="4">SUM(E77:G77)</f>
        <v>0</v>
      </c>
      <c r="I77" s="310" t="str">
        <f>IF(Table1!I109="NP",0,Table1!I109)</f>
        <v>NA</v>
      </c>
      <c r="J77" s="310" t="str">
        <f>IF(Table1!J109="NP",0,Table1!J109)</f>
        <v>NA</v>
      </c>
      <c r="K77" s="310" t="str">
        <f>IF(Table1!K109="NP",0,Table1!K109)</f>
        <v>NA</v>
      </c>
      <c r="L77" s="310" t="str">
        <f>IF(Table1!L109="NP",0,Table1!L109)</f>
        <v>NA</v>
      </c>
      <c r="M77" s="312">
        <f t="shared" ref="M77:M82" si="5">SUM(H77:L77)</f>
        <v>0</v>
      </c>
      <c r="N77" s="310" t="str">
        <f>IF(Table1!N109="NP",0,Table1!N109)</f>
        <v>NA</v>
      </c>
      <c r="P77" s="308"/>
      <c r="Q77" s="309"/>
      <c r="R77" s="811"/>
      <c r="S77" s="799"/>
      <c r="T77" s="799"/>
      <c r="U77" s="799"/>
      <c r="V77" s="799"/>
      <c r="W77" s="801"/>
      <c r="X77" s="809"/>
    </row>
    <row r="78" spans="1:24" ht="12.95" customHeight="1" x14ac:dyDescent="0.2">
      <c r="A78" s="143"/>
      <c r="B78" s="114" t="s">
        <v>1476</v>
      </c>
      <c r="C78" s="110" t="s">
        <v>295</v>
      </c>
      <c r="D78" s="119" t="s">
        <v>48</v>
      </c>
      <c r="E78" s="310" t="str">
        <f>IF(Table1!E110="NP",0,Table1!E110)</f>
        <v>NA</v>
      </c>
      <c r="F78" s="310" t="str">
        <f>IF(Table1!F110="NP",0,Table1!F110)</f>
        <v>NA</v>
      </c>
      <c r="G78" s="310" t="str">
        <f>IF(Table1!G110="NP",0,Table1!G110)</f>
        <v>NA</v>
      </c>
      <c r="H78" s="311">
        <f t="shared" si="4"/>
        <v>0</v>
      </c>
      <c r="I78" s="310" t="str">
        <f>IF(Table1!I110="NP",0,Table1!I110)</f>
        <v>NA</v>
      </c>
      <c r="J78" s="310" t="str">
        <f>IF(Table1!J110="NP",0,Table1!J110)</f>
        <v>NA</v>
      </c>
      <c r="K78" s="310" t="str">
        <f>IF(Table1!K110="NP",0,Table1!K110)</f>
        <v>NA</v>
      </c>
      <c r="L78" s="310" t="str">
        <f>IF(Table1!L110="NP",0,Table1!L110)</f>
        <v>NA</v>
      </c>
      <c r="M78" s="312">
        <f t="shared" si="5"/>
        <v>0</v>
      </c>
      <c r="N78" s="310" t="str">
        <f>IF(Table1!N110="NP",0,Table1!N110)</f>
        <v>NA</v>
      </c>
      <c r="P78" s="803" t="s">
        <v>2448</v>
      </c>
      <c r="Q78" s="128" t="s">
        <v>89</v>
      </c>
      <c r="R78" s="313" t="str">
        <f>+IF(AND(E77=0,E84=0),0,"error")</f>
        <v>error</v>
      </c>
      <c r="S78" s="314" t="e">
        <f>+IF(ROUND(F77,1)=ROUND(E85,1),ROUND(F77,1),"error")</f>
        <v>#VALUE!</v>
      </c>
      <c r="T78" s="314" t="e">
        <f>+IF(ROUND(H77,1)=ROUND(E86,1),ROUND(H77,1),"error")</f>
        <v>#VALUE!</v>
      </c>
      <c r="U78" s="314" t="e">
        <f>+IF(ROUND(I77,1)=ROUND(E87,1),ROUND(I77,1),"error")</f>
        <v>#VALUE!</v>
      </c>
      <c r="V78" s="314" t="e">
        <f>+IF(ROUND(J77,1)=ROUND(E88,1),ROUND(J77,1),"error")</f>
        <v>#VALUE!</v>
      </c>
      <c r="W78" s="315" t="e">
        <f>+IF(ROUND(K77,1)=ROUND(E89,1),ROUND(K77,1),"error")</f>
        <v>#VALUE!</v>
      </c>
      <c r="X78" s="316" t="e">
        <f>+IF(OR(R78="error",S78="error",U78="error",V78="error",W78="error"),"error",SUM(R78:S78,U78:W78))</f>
        <v>#VALUE!</v>
      </c>
    </row>
    <row r="79" spans="1:24" ht="12.95" customHeight="1" x14ac:dyDescent="0.2">
      <c r="A79" s="143"/>
      <c r="B79" s="114" t="s">
        <v>1492</v>
      </c>
      <c r="C79" s="110" t="s">
        <v>555</v>
      </c>
      <c r="D79" s="119" t="s">
        <v>48</v>
      </c>
      <c r="E79" s="310" t="str">
        <f>IF(Table1!E111="NP",0,Table1!E111)</f>
        <v>NA</v>
      </c>
      <c r="F79" s="310" t="str">
        <f>IF(Table1!F111="NP",0,Table1!F111)</f>
        <v>NA</v>
      </c>
      <c r="G79" s="310" t="str">
        <f>IF(Table1!G111="NP",0,Table1!G111)</f>
        <v>NA</v>
      </c>
      <c r="H79" s="311">
        <f t="shared" si="4"/>
        <v>0</v>
      </c>
      <c r="I79" s="310" t="str">
        <f>IF(Table1!I111="NP",0,Table1!I111)</f>
        <v>NA</v>
      </c>
      <c r="J79" s="310" t="str">
        <f>IF(Table1!J111="NP",0,Table1!J111)</f>
        <v>NA</v>
      </c>
      <c r="K79" s="310" t="str">
        <f>IF(Table1!K111="NP",0,Table1!K111)</f>
        <v>NA</v>
      </c>
      <c r="L79" s="310" t="str">
        <f>IF(Table1!L111="NP",0,Table1!L111)</f>
        <v>NA</v>
      </c>
      <c r="M79" s="312">
        <f t="shared" si="5"/>
        <v>0</v>
      </c>
      <c r="N79" s="310" t="str">
        <f>IF(Table1!N111="NP",0,Table1!N111)</f>
        <v>NA</v>
      </c>
      <c r="P79" s="803"/>
      <c r="Q79" s="129" t="s">
        <v>90</v>
      </c>
      <c r="R79" s="317" t="e">
        <f>+IF(ROUND(E78,1)=ROUND(F84,1),ROUND(E78,1),"error")</f>
        <v>#VALUE!</v>
      </c>
      <c r="S79" s="318" t="str">
        <f>+IF(AND(F78=0,F85=0),0,"error")</f>
        <v>error</v>
      </c>
      <c r="T79" s="319" t="e">
        <f>+IF(ROUND(H78,1)=ROUND(F86,1),ROUND(H78,1),"error")</f>
        <v>#VALUE!</v>
      </c>
      <c r="U79" s="319" t="e">
        <f>+IF(ROUND(I78,1)=ROUND(F87,1),ROUND(I78,1),"error")</f>
        <v>#VALUE!</v>
      </c>
      <c r="V79" s="319" t="e">
        <f>+IF(ROUND(J78,1)=ROUND(F88,1),ROUND(J78,1),"error")</f>
        <v>#VALUE!</v>
      </c>
      <c r="W79" s="320" t="e">
        <f>+IF(ROUND(K78,1)=ROUND(F89,1),ROUND(K78,1),"error")</f>
        <v>#VALUE!</v>
      </c>
      <c r="X79" s="321" t="e">
        <f>+IF(OR(R79="error",S79="error",U79="error",V79="error",W79="error"),"error",SUM(R79:S79,U79:W79))</f>
        <v>#VALUE!</v>
      </c>
    </row>
    <row r="80" spans="1:24" ht="12.95" customHeight="1" x14ac:dyDescent="0.2">
      <c r="A80" s="143"/>
      <c r="B80" s="114" t="s">
        <v>1508</v>
      </c>
      <c r="C80" s="110" t="s">
        <v>282</v>
      </c>
      <c r="D80" s="119" t="s">
        <v>48</v>
      </c>
      <c r="E80" s="310" t="str">
        <f>IF(Table1!E112="NP",0,Table1!E112)</f>
        <v>NA</v>
      </c>
      <c r="F80" s="310" t="str">
        <f>IF(Table1!F112="NP",0,Table1!F112)</f>
        <v>NA</v>
      </c>
      <c r="G80" s="310" t="str">
        <f>IF(Table1!G112="NP",0,Table1!G112)</f>
        <v>NA</v>
      </c>
      <c r="H80" s="311">
        <f t="shared" si="4"/>
        <v>0</v>
      </c>
      <c r="I80" s="310" t="str">
        <f>IF(Table1!I112="NP",0,Table1!I112)</f>
        <v>NA</v>
      </c>
      <c r="J80" s="310" t="str">
        <f>IF(Table1!J112="NP",0,Table1!J112)</f>
        <v>NA</v>
      </c>
      <c r="K80" s="310" t="str">
        <f>IF(Table1!K112="NP",0,Table1!K112)</f>
        <v>NA</v>
      </c>
      <c r="L80" s="310" t="str">
        <f>IF(Table1!L112="NP",0,Table1!L112)</f>
        <v>NA</v>
      </c>
      <c r="M80" s="312">
        <f t="shared" si="5"/>
        <v>0</v>
      </c>
      <c r="N80" s="310" t="str">
        <f>IF(Table1!N112="NP",0,Table1!N112)</f>
        <v>NA</v>
      </c>
      <c r="P80" s="803"/>
      <c r="Q80" s="129" t="s">
        <v>22</v>
      </c>
      <c r="R80" s="317" t="e">
        <f>+IF(ROUND(E79,1)=ROUND(H84,1),ROUND(E79,1),"error")</f>
        <v>#VALUE!</v>
      </c>
      <c r="S80" s="319" t="e">
        <f>+IF(ROUND(F79,1)=ROUND(H85,1),ROUND(F79,1),"error")</f>
        <v>#VALUE!</v>
      </c>
      <c r="T80" s="318">
        <f>+IF(AND(H79=0,H86=0),0,"error")</f>
        <v>0</v>
      </c>
      <c r="U80" s="319" t="e">
        <f>+IF(ROUND(I79,1)=ROUND(H87,1),ROUND(I79,1),"error")</f>
        <v>#VALUE!</v>
      </c>
      <c r="V80" s="319" t="e">
        <f>+IF(ROUND(J79,1)=ROUND(H88,1),ROUND(J79,1),"error")</f>
        <v>#VALUE!</v>
      </c>
      <c r="W80" s="320" t="e">
        <f>+IF(ROUND(K79,1)=ROUND(H89,1),ROUND(K79,1),"error")</f>
        <v>#VALUE!</v>
      </c>
      <c r="X80" s="321" t="e">
        <f>+IF(OR(T80="error",U80="error",V80="error",W80="error"),"error",SUM(T80:W80))</f>
        <v>#VALUE!</v>
      </c>
    </row>
    <row r="81" spans="1:24" ht="12.95" customHeight="1" x14ac:dyDescent="0.2">
      <c r="A81" s="143"/>
      <c r="B81" s="114" t="s">
        <v>1524</v>
      </c>
      <c r="C81" s="110" t="s">
        <v>283</v>
      </c>
      <c r="D81" s="119" t="s">
        <v>48</v>
      </c>
      <c r="E81" s="310" t="str">
        <f>IF(Table1!E113="NP",0,Table1!E113)</f>
        <v>NA</v>
      </c>
      <c r="F81" s="310" t="str">
        <f>IF(Table1!F113="NP",0,Table1!F113)</f>
        <v>NA</v>
      </c>
      <c r="G81" s="310" t="str">
        <f>IF(Table1!G113="NP",0,Table1!G113)</f>
        <v>NA</v>
      </c>
      <c r="H81" s="311">
        <f t="shared" si="4"/>
        <v>0</v>
      </c>
      <c r="I81" s="310" t="str">
        <f>IF(Table1!I113="NP",0,Table1!I113)</f>
        <v>NA</v>
      </c>
      <c r="J81" s="310" t="str">
        <f>IF(Table1!J113="NP",0,Table1!J113)</f>
        <v>NA</v>
      </c>
      <c r="K81" s="310" t="str">
        <f>IF(Table1!K113="NP",0,Table1!K113)</f>
        <v>NA</v>
      </c>
      <c r="L81" s="310" t="str">
        <f>IF(Table1!L113="NP",0,Table1!L113)</f>
        <v>NA</v>
      </c>
      <c r="M81" s="312">
        <f t="shared" si="5"/>
        <v>0</v>
      </c>
      <c r="N81" s="310" t="str">
        <f>IF(Table1!N113="NP",0,Table1!N113)</f>
        <v>NA</v>
      </c>
      <c r="P81" s="803"/>
      <c r="Q81" s="130" t="s">
        <v>21</v>
      </c>
      <c r="R81" s="322" t="e">
        <f>+IF(ROUND(E80,1)=ROUND(I84,1),ROUND(E80,1),"error")</f>
        <v>#VALUE!</v>
      </c>
      <c r="S81" s="323" t="e">
        <f>+IF(ROUND(F80,1)=ROUND(I85,1),ROUND(F80,1),"error")</f>
        <v>#VALUE!</v>
      </c>
      <c r="T81" s="323" t="e">
        <f>+IF(ROUND(H80,1)=ROUND(I86,1),ROUND(H80,1),"error")</f>
        <v>#VALUE!</v>
      </c>
      <c r="U81" s="324" t="str">
        <f>+IF(AND(I80=0,I87=0),0,"error")</f>
        <v>error</v>
      </c>
      <c r="V81" s="323" t="e">
        <f>+IF(ROUND(J80,1)=ROUND(I88,1),ROUND(J80,1),"error")</f>
        <v>#VALUE!</v>
      </c>
      <c r="W81" s="325" t="e">
        <f>+IF(ROUND(K80,1)=ROUND(I89,1),ROUND(K80,1),"error")</f>
        <v>#VALUE!</v>
      </c>
      <c r="X81" s="321" t="e">
        <f>+IF(OR(R81="error",S81="error",U81="error",V81="error",W81="error"),"error",SUM(R81:S81,U81:W81))</f>
        <v>#VALUE!</v>
      </c>
    </row>
    <row r="82" spans="1:24" ht="12.95" customHeight="1" x14ac:dyDescent="0.2">
      <c r="A82" s="143"/>
      <c r="B82" s="114" t="s">
        <v>1540</v>
      </c>
      <c r="C82" s="110" t="s">
        <v>284</v>
      </c>
      <c r="D82" s="119" t="s">
        <v>48</v>
      </c>
      <c r="E82" s="310" t="str">
        <f>IF(Table1!E114="NP",0,Table1!E114)</f>
        <v>NA</v>
      </c>
      <c r="F82" s="310" t="str">
        <f>IF(Table1!F114="NP",0,Table1!F114)</f>
        <v>NA</v>
      </c>
      <c r="G82" s="310" t="str">
        <f>IF(Table1!G114="NP",0,Table1!G114)</f>
        <v>NA</v>
      </c>
      <c r="H82" s="311">
        <f t="shared" si="4"/>
        <v>0</v>
      </c>
      <c r="I82" s="310" t="str">
        <f>IF(Table1!I114="NP",0,Table1!I114)</f>
        <v>NA</v>
      </c>
      <c r="J82" s="310" t="str">
        <f>IF(Table1!J114="NP",0,Table1!J114)</f>
        <v>NA</v>
      </c>
      <c r="K82" s="310" t="str">
        <f>IF(Table1!K114="NP",0,Table1!K114)</f>
        <v>NA</v>
      </c>
      <c r="L82" s="310" t="str">
        <f>IF(Table1!L114="NP",0,Table1!L114)</f>
        <v>NA</v>
      </c>
      <c r="M82" s="312">
        <f t="shared" si="5"/>
        <v>0</v>
      </c>
      <c r="N82" s="310" t="str">
        <f>IF(Table1!N114="NP",0,Table1!N114)</f>
        <v>NA</v>
      </c>
      <c r="P82" s="803"/>
      <c r="Q82" s="129" t="s">
        <v>23</v>
      </c>
      <c r="R82" s="322" t="e">
        <f>+IF(ROUND(E81,1)=ROUND(J84,1),ROUND(E81,1),"error")</f>
        <v>#VALUE!</v>
      </c>
      <c r="S82" s="323" t="e">
        <f>+IF(ROUND(F81,1)=ROUND(J85,1),ROUND(F81,1),"error")</f>
        <v>#VALUE!</v>
      </c>
      <c r="T82" s="323" t="e">
        <f>+IF(ROUND(H81,1)=ROUND(J86,1),ROUND(H81,1),"error")</f>
        <v>#VALUE!</v>
      </c>
      <c r="U82" s="326" t="e">
        <f>+IF(ROUND(I81,1)=ROUND(J87,1),ROUND(I81,1),"error")</f>
        <v>#VALUE!</v>
      </c>
      <c r="V82" s="324" t="str">
        <f>+IF(AND(J81=0,J88=0),0,"error")</f>
        <v>error</v>
      </c>
      <c r="W82" s="325" t="e">
        <f>+IF(ROUND(K81,1)=ROUND(J89,1),ROUND(K81,1),"error")</f>
        <v>#VALUE!</v>
      </c>
      <c r="X82" s="321" t="e">
        <f>+IF(OR(R82="error",S82="error",U82="error",V82="error",W82="error"),"error",SUM(R82:S82,U82:W82))</f>
        <v>#VALUE!</v>
      </c>
    </row>
    <row r="83" spans="1:24" ht="12.95" customHeight="1" x14ac:dyDescent="0.2">
      <c r="A83" s="143"/>
      <c r="B83" s="117" t="s">
        <v>682</v>
      </c>
      <c r="C83" s="133"/>
      <c r="D83" s="328"/>
      <c r="E83" s="310"/>
      <c r="F83" s="310"/>
      <c r="G83" s="310"/>
      <c r="H83" s="311"/>
      <c r="I83" s="310"/>
      <c r="J83" s="310"/>
      <c r="K83" s="311"/>
      <c r="L83" s="310"/>
      <c r="M83" s="312"/>
      <c r="N83" s="310"/>
      <c r="P83" s="803"/>
      <c r="Q83" s="131" t="s">
        <v>24</v>
      </c>
      <c r="R83" s="322" t="e">
        <f>+IF(ROUND(E82,1)=ROUND(K84,1),ROUND(E82,1),"error")</f>
        <v>#VALUE!</v>
      </c>
      <c r="S83" s="323" t="e">
        <f>+IF(ROUND(F82,1)=ROUND(K85,1),ROUND(F82,1),"error")</f>
        <v>#VALUE!</v>
      </c>
      <c r="T83" s="323" t="e">
        <f>+IF(ROUND(H82,1)=ROUND(K86,1),ROUND(H82,1),"error")</f>
        <v>#VALUE!</v>
      </c>
      <c r="U83" s="326" t="e">
        <f>+IF(ROUND(I82,1)=ROUND(K87,1),ROUND(I82,1),"error")</f>
        <v>#VALUE!</v>
      </c>
      <c r="V83" s="326" t="e">
        <f>+IF(ROUND(J82,1)=ROUND(K88,1),ROUND(J82,1),"error")</f>
        <v>#VALUE!</v>
      </c>
      <c r="W83" s="327" t="str">
        <f>+IF(AND(K82=0,K89=0),0,"error")</f>
        <v>error</v>
      </c>
      <c r="X83" s="321" t="e">
        <f>+IF(OR(R83="error",S83="error",U83="error",V83="error",W83="error"),"error",SUM(R83:S83,U83:W83))</f>
        <v>#VALUE!</v>
      </c>
    </row>
    <row r="84" spans="1:24" ht="12.95" customHeight="1" x14ac:dyDescent="0.2">
      <c r="A84" s="143"/>
      <c r="B84" s="114" t="s">
        <v>1461</v>
      </c>
      <c r="C84" s="110" t="s">
        <v>290</v>
      </c>
      <c r="D84" s="119" t="s">
        <v>48</v>
      </c>
      <c r="E84" s="310" t="str">
        <f>IF(Table2!E75="NP",0,Table2!E75)</f>
        <v>NA</v>
      </c>
      <c r="F84" s="310" t="str">
        <f>IF(Table2!F75="NP",0,Table2!F75)</f>
        <v>NA</v>
      </c>
      <c r="G84" s="310" t="str">
        <f>IF(Table2!G75="NP",0,Table2!G75)</f>
        <v>NA</v>
      </c>
      <c r="H84" s="311">
        <f t="shared" ref="H84:H89" si="6">SUM(E84:G84)</f>
        <v>0</v>
      </c>
      <c r="I84" s="310" t="str">
        <f>IF(Table2!I75="NP",0,Table2!I75)</f>
        <v>NA</v>
      </c>
      <c r="J84" s="310" t="str">
        <f>IF(Table2!J75="NP",0,Table2!J75)</f>
        <v>NA</v>
      </c>
      <c r="K84" s="311" t="str">
        <f>IF(Table2!K75="NP",0,Table2!K75)</f>
        <v>NA</v>
      </c>
      <c r="L84" s="310" t="str">
        <f>IF(Table2!L75="NP",0,Table2!L75)</f>
        <v>NA</v>
      </c>
      <c r="M84" s="312">
        <f t="shared" ref="M84:M89" si="7">SUM(H84:L84)</f>
        <v>0</v>
      </c>
      <c r="N84" s="310" t="str">
        <f>IF(Table2!N75="NP",0,Table2!N75)</f>
        <v>NA</v>
      </c>
      <c r="P84" s="804"/>
      <c r="Q84" s="132" t="s">
        <v>26</v>
      </c>
      <c r="R84" s="329" t="e">
        <f>+IF(OR(R78="error",R79="error",R81="error",R82="error",R83="error"),"error",SUM(R78:R79,R81:R83))</f>
        <v>#VALUE!</v>
      </c>
      <c r="S84" s="329" t="e">
        <f>+IF(OR(S78="error",S79="error",S81="error",S82="error",S83="error"),"error",SUM(S78:S79,S81:S83))</f>
        <v>#VALUE!</v>
      </c>
      <c r="T84" s="330" t="e">
        <f>+IF(OR(T80="error",T81="error",T82="error",T83="error"),"error",SUM(T80:T83))</f>
        <v>#VALUE!</v>
      </c>
      <c r="U84" s="330" t="e">
        <f>+IF(OR(U78="error",U79="error",U81="error",U82="error",U83="error"),"error",SUM(U78:U79,U81:U83))</f>
        <v>#VALUE!</v>
      </c>
      <c r="V84" s="330" t="e">
        <f>+IF(OR(V78="error",V79="error",V81="error",V82="error",V83="error"),"error",SUM(V78:V79,V81:V83))</f>
        <v>#VALUE!</v>
      </c>
      <c r="W84" s="330" t="e">
        <f>+IF(OR(W78="error",W79="error",W81="error",W82="error",W83="error"),"error",SUM(W78:W79,W81:W83))</f>
        <v>#VALUE!</v>
      </c>
      <c r="X84" s="331"/>
    </row>
    <row r="85" spans="1:24" ht="12.95" customHeight="1" x14ac:dyDescent="0.2">
      <c r="A85" s="143"/>
      <c r="B85" s="114" t="s">
        <v>1477</v>
      </c>
      <c r="C85" s="110" t="s">
        <v>294</v>
      </c>
      <c r="D85" s="119" t="s">
        <v>48</v>
      </c>
      <c r="E85" s="310" t="str">
        <f>IF(Table2!E76="NP",0,Table2!E76)</f>
        <v>NA</v>
      </c>
      <c r="F85" s="310" t="str">
        <f>IF(Table2!F76="NP",0,Table2!F76)</f>
        <v>NA</v>
      </c>
      <c r="G85" s="310" t="str">
        <f>IF(Table2!G76="NP",0,Table2!G76)</f>
        <v>NA</v>
      </c>
      <c r="H85" s="311">
        <f t="shared" si="6"/>
        <v>0</v>
      </c>
      <c r="I85" s="310" t="str">
        <f>IF(Table2!I76="NP",0,Table2!I76)</f>
        <v>NA</v>
      </c>
      <c r="J85" s="310" t="str">
        <f>IF(Table2!J76="NP",0,Table2!J76)</f>
        <v>NA</v>
      </c>
      <c r="K85" s="311" t="str">
        <f>IF(Table2!K76="NP",0,Table2!K76)</f>
        <v>NA</v>
      </c>
      <c r="L85" s="310" t="str">
        <f>IF(Table2!L76="NP",0,Table2!L76)</f>
        <v>NA</v>
      </c>
      <c r="M85" s="312">
        <f t="shared" si="7"/>
        <v>0</v>
      </c>
      <c r="N85" s="310" t="str">
        <f>IF(Table2!N76="NP",0,Table2!N76)</f>
        <v>NA</v>
      </c>
      <c r="P85" s="344"/>
      <c r="Q85" s="342"/>
      <c r="R85" s="343"/>
      <c r="S85" s="343"/>
      <c r="T85" s="343"/>
      <c r="U85" s="343"/>
      <c r="V85" s="343"/>
      <c r="W85" s="343"/>
      <c r="X85" s="334"/>
    </row>
    <row r="86" spans="1:24" ht="12.95" customHeight="1" x14ac:dyDescent="0.2">
      <c r="A86" s="143"/>
      <c r="B86" s="114" t="s">
        <v>1493</v>
      </c>
      <c r="C86" s="110" t="s">
        <v>559</v>
      </c>
      <c r="D86" s="119" t="s">
        <v>48</v>
      </c>
      <c r="E86" s="310" t="str">
        <f>IF(Table2!E77="NP",0,Table2!E77)</f>
        <v>NA</v>
      </c>
      <c r="F86" s="310" t="str">
        <f>IF(Table2!F77="NP",0,Table2!F77)</f>
        <v>NA</v>
      </c>
      <c r="G86" s="310" t="str">
        <f>IF(Table2!G77="NP",0,Table2!G77)</f>
        <v>NA</v>
      </c>
      <c r="H86" s="311">
        <f t="shared" si="6"/>
        <v>0</v>
      </c>
      <c r="I86" s="310" t="str">
        <f>IF(Table2!I77="NP",0,Table2!I77)</f>
        <v>NA</v>
      </c>
      <c r="J86" s="310" t="str">
        <f>IF(Table2!J77="NP",0,Table2!J77)</f>
        <v>NA</v>
      </c>
      <c r="K86" s="311" t="str">
        <f>IF(Table2!K77="NP",0,Table2!K77)</f>
        <v>NA</v>
      </c>
      <c r="L86" s="310" t="str">
        <f>IF(Table2!L77="NP",0,Table2!L77)</f>
        <v>NA</v>
      </c>
      <c r="M86" s="312">
        <f t="shared" si="7"/>
        <v>0</v>
      </c>
      <c r="N86" s="310" t="str">
        <f>IF(Table2!N77="NP",0,Table2!N77)</f>
        <v>NA</v>
      </c>
      <c r="P86" s="340"/>
      <c r="Q86" s="332"/>
      <c r="R86" s="333"/>
      <c r="S86" s="333"/>
      <c r="T86" s="333"/>
      <c r="U86" s="333"/>
      <c r="V86" s="333"/>
      <c r="W86" s="333"/>
      <c r="X86" s="333"/>
    </row>
    <row r="87" spans="1:24" ht="12.95" customHeight="1" x14ac:dyDescent="0.2">
      <c r="A87" s="143"/>
      <c r="B87" s="114" t="s">
        <v>1509</v>
      </c>
      <c r="C87" s="110" t="s">
        <v>291</v>
      </c>
      <c r="D87" s="119" t="s">
        <v>48</v>
      </c>
      <c r="E87" s="310" t="str">
        <f>IF(Table2!E78="NP",0,Table2!E78)</f>
        <v>NA</v>
      </c>
      <c r="F87" s="310" t="str">
        <f>IF(Table2!F78="NP",0,Table2!F78)</f>
        <v>NA</v>
      </c>
      <c r="G87" s="310" t="str">
        <f>IF(Table2!G78="NP",0,Table2!G78)</f>
        <v>NA</v>
      </c>
      <c r="H87" s="311">
        <f t="shared" si="6"/>
        <v>0</v>
      </c>
      <c r="I87" s="310" t="str">
        <f>IF(Table2!I78="NP",0,Table2!I78)</f>
        <v>NA</v>
      </c>
      <c r="J87" s="310" t="str">
        <f>IF(Table2!J78="NP",0,Table2!J78)</f>
        <v>NA</v>
      </c>
      <c r="K87" s="311" t="str">
        <f>IF(Table2!K78="NP",0,Table2!K78)</f>
        <v>NA</v>
      </c>
      <c r="L87" s="310" t="str">
        <f>IF(Table2!L78="NP",0,Table2!L78)</f>
        <v>NA</v>
      </c>
      <c r="M87" s="312">
        <f t="shared" si="7"/>
        <v>0</v>
      </c>
      <c r="N87" s="310" t="str">
        <f>IF(Table2!N78="NP",0,Table2!N78)</f>
        <v>NA</v>
      </c>
    </row>
    <row r="88" spans="1:24" x14ac:dyDescent="0.2">
      <c r="A88" s="143"/>
      <c r="B88" s="114" t="s">
        <v>1525</v>
      </c>
      <c r="C88" s="110" t="s">
        <v>292</v>
      </c>
      <c r="D88" s="119" t="s">
        <v>48</v>
      </c>
      <c r="E88" s="310" t="str">
        <f>IF(Table2!E79="NP",0,Table2!E79)</f>
        <v>NA</v>
      </c>
      <c r="F88" s="310" t="str">
        <f>IF(Table2!F79="NP",0,Table2!F79)</f>
        <v>NA</v>
      </c>
      <c r="G88" s="310" t="str">
        <f>IF(Table2!G79="NP",0,Table2!G79)</f>
        <v>NA</v>
      </c>
      <c r="H88" s="311">
        <f t="shared" si="6"/>
        <v>0</v>
      </c>
      <c r="I88" s="310" t="str">
        <f>IF(Table2!I79="NP",0,Table2!I79)</f>
        <v>NA</v>
      </c>
      <c r="J88" s="310" t="str">
        <f>IF(Table2!J79="NP",0,Table2!J79)</f>
        <v>NA</v>
      </c>
      <c r="K88" s="311" t="str">
        <f>IF(Table2!K79="NP",0,Table2!K79)</f>
        <v>NA</v>
      </c>
      <c r="L88" s="310" t="str">
        <f>IF(Table2!L79="NP",0,Table2!L79)</f>
        <v>NA</v>
      </c>
      <c r="M88" s="312">
        <f t="shared" si="7"/>
        <v>0</v>
      </c>
      <c r="N88" s="310" t="str">
        <f>IF(Table2!N79="NP",0,Table2!N79)</f>
        <v>NA</v>
      </c>
    </row>
    <row r="89" spans="1:24" ht="12.95" customHeight="1" x14ac:dyDescent="0.2">
      <c r="A89" s="143"/>
      <c r="B89" s="115" t="s">
        <v>1541</v>
      </c>
      <c r="C89" s="113" t="s">
        <v>293</v>
      </c>
      <c r="D89" s="335" t="s">
        <v>48</v>
      </c>
      <c r="E89" s="336" t="str">
        <f>IF(Table2!E80="NP",0,Table2!E80)</f>
        <v>NA</v>
      </c>
      <c r="F89" s="336" t="str">
        <f>IF(Table2!F80="NP",0,Table2!F80)</f>
        <v>NA</v>
      </c>
      <c r="G89" s="336" t="str">
        <f>IF(Table2!G80="NP",0,Table2!G80)</f>
        <v>NA</v>
      </c>
      <c r="H89" s="337">
        <f t="shared" si="6"/>
        <v>0</v>
      </c>
      <c r="I89" s="336" t="str">
        <f>IF(Table2!I80="NP",0,Table2!I80)</f>
        <v>NA</v>
      </c>
      <c r="J89" s="336" t="str">
        <f>IF(Table2!J80="NP",0,Table2!J80)</f>
        <v>NA</v>
      </c>
      <c r="K89" s="337" t="str">
        <f>IF(Table2!K80="NP",0,Table2!K80)</f>
        <v>NA</v>
      </c>
      <c r="L89" s="336" t="str">
        <f>IF(Table2!L80="NP",0,Table2!L80)</f>
        <v>NA</v>
      </c>
      <c r="M89" s="338">
        <f t="shared" si="7"/>
        <v>0</v>
      </c>
      <c r="N89" s="336" t="str">
        <f>IF(Table2!N80="NP",0,Table2!N80)</f>
        <v>NA</v>
      </c>
    </row>
    <row r="90" spans="1:24" ht="12.95" customHeight="1" x14ac:dyDescent="0.2">
      <c r="A90" s="143"/>
    </row>
    <row r="91" spans="1:24" ht="12.95" customHeight="1" x14ac:dyDescent="0.2">
      <c r="A91" s="143"/>
      <c r="E91" s="298" t="s">
        <v>1425</v>
      </c>
      <c r="F91" s="299"/>
      <c r="G91" s="299"/>
      <c r="H91" s="299"/>
      <c r="I91" s="299"/>
      <c r="J91" s="299"/>
      <c r="K91" s="299"/>
      <c r="L91" s="299"/>
      <c r="M91" s="299"/>
      <c r="N91" s="300"/>
    </row>
    <row r="92" spans="1:24" ht="12.95" customHeight="1" x14ac:dyDescent="0.2">
      <c r="A92" s="143"/>
      <c r="E92" s="124" t="s">
        <v>632</v>
      </c>
      <c r="F92" s="125" t="s">
        <v>633</v>
      </c>
      <c r="G92" s="126" t="s">
        <v>155</v>
      </c>
      <c r="H92" s="125" t="s">
        <v>634</v>
      </c>
      <c r="I92" s="126" t="s">
        <v>635</v>
      </c>
      <c r="J92" s="125" t="s">
        <v>636</v>
      </c>
      <c r="K92" s="126" t="s">
        <v>637</v>
      </c>
      <c r="L92" s="125" t="s">
        <v>156</v>
      </c>
      <c r="M92" s="127" t="s">
        <v>638</v>
      </c>
      <c r="N92" s="127" t="s">
        <v>639</v>
      </c>
      <c r="P92" s="162"/>
      <c r="Q92" s="301"/>
      <c r="R92" s="805" t="s">
        <v>687</v>
      </c>
      <c r="S92" s="806"/>
      <c r="T92" s="806"/>
      <c r="U92" s="806"/>
      <c r="V92" s="806"/>
      <c r="W92" s="806"/>
      <c r="X92" s="807"/>
    </row>
    <row r="93" spans="1:24" ht="12.95" customHeight="1" x14ac:dyDescent="0.2">
      <c r="A93" s="143"/>
      <c r="B93" s="134" t="s">
        <v>1441</v>
      </c>
      <c r="C93" s="135"/>
      <c r="D93" s="304"/>
      <c r="E93" s="305"/>
      <c r="F93" s="305"/>
      <c r="G93" s="305"/>
      <c r="H93" s="306"/>
      <c r="I93" s="305"/>
      <c r="J93" s="305"/>
      <c r="K93" s="306"/>
      <c r="L93" s="305"/>
      <c r="M93" s="307"/>
      <c r="N93" s="305"/>
      <c r="P93" s="302" t="s">
        <v>1423</v>
      </c>
      <c r="Q93" s="303"/>
      <c r="R93" s="810" t="s">
        <v>89</v>
      </c>
      <c r="S93" s="798" t="s">
        <v>90</v>
      </c>
      <c r="T93" s="798" t="s">
        <v>22</v>
      </c>
      <c r="U93" s="798" t="s">
        <v>21</v>
      </c>
      <c r="V93" s="798" t="s">
        <v>23</v>
      </c>
      <c r="W93" s="800" t="s">
        <v>24</v>
      </c>
      <c r="X93" s="808" t="s">
        <v>1438</v>
      </c>
    </row>
    <row r="94" spans="1:24" ht="12.95" customHeight="1" x14ac:dyDescent="0.2">
      <c r="A94" s="143" t="s">
        <v>2353</v>
      </c>
      <c r="B94" s="114" t="s">
        <v>1462</v>
      </c>
      <c r="C94" s="110" t="s">
        <v>281</v>
      </c>
      <c r="D94" s="119" t="s">
        <v>48</v>
      </c>
      <c r="E94" s="80"/>
      <c r="F94" s="80"/>
      <c r="G94" s="80"/>
      <c r="H94" s="83"/>
      <c r="I94" s="80"/>
      <c r="J94" s="80"/>
      <c r="K94" s="80"/>
      <c r="L94" s="80"/>
      <c r="M94" s="84"/>
      <c r="N94" s="80"/>
      <c r="P94" s="308"/>
      <c r="Q94" s="309"/>
      <c r="R94" s="811"/>
      <c r="S94" s="799"/>
      <c r="T94" s="799"/>
      <c r="U94" s="799"/>
      <c r="V94" s="799"/>
      <c r="W94" s="801"/>
      <c r="X94" s="809"/>
    </row>
    <row r="95" spans="1:24" ht="12.95" customHeight="1" x14ac:dyDescent="0.2">
      <c r="A95" s="143" t="s">
        <v>2354</v>
      </c>
      <c r="B95" s="114" t="s">
        <v>1478</v>
      </c>
      <c r="C95" s="110" t="s">
        <v>295</v>
      </c>
      <c r="D95" s="119" t="s">
        <v>48</v>
      </c>
      <c r="E95" s="80"/>
      <c r="F95" s="80"/>
      <c r="G95" s="80"/>
      <c r="H95" s="83"/>
      <c r="I95" s="80"/>
      <c r="J95" s="80"/>
      <c r="K95" s="80"/>
      <c r="L95" s="80"/>
      <c r="M95" s="84"/>
      <c r="N95" s="80"/>
      <c r="P95" s="802" t="s">
        <v>693</v>
      </c>
      <c r="Q95" s="128" t="s">
        <v>89</v>
      </c>
      <c r="R95" s="313">
        <f>+IF(AND(E94=0,E101=0),0,"error")</f>
        <v>0</v>
      </c>
      <c r="S95" s="314">
        <f>+IF(ROUND(F94,1)=ROUND(E102,1),ROUND(F94,1),"error")</f>
        <v>0</v>
      </c>
      <c r="T95" s="314">
        <f>+IF(ROUND(H94,1)=ROUND(E103,1),ROUND(H94,1),"error")</f>
        <v>0</v>
      </c>
      <c r="U95" s="314">
        <f>+IF(ROUND(I94,1)=ROUND(E104,1),ROUND(I94,1),"error")</f>
        <v>0</v>
      </c>
      <c r="V95" s="314">
        <f>+IF(ROUND(J94,1)=ROUND(E105,1),ROUND(J94,1),"error")</f>
        <v>0</v>
      </c>
      <c r="W95" s="315">
        <f>+IF(ROUND(K94,1)=ROUND(E106,1),ROUND(K94,1),"error")</f>
        <v>0</v>
      </c>
      <c r="X95" s="316">
        <f>+IF(OR(R95="error",S95="error",U95="error",V95="error",W95="error"),"error",SUM(R95:S95,U95:W95))</f>
        <v>0</v>
      </c>
    </row>
    <row r="96" spans="1:24" ht="12.95" customHeight="1" x14ac:dyDescent="0.2">
      <c r="A96" s="143" t="s">
        <v>2355</v>
      </c>
      <c r="B96" s="114" t="s">
        <v>1494</v>
      </c>
      <c r="C96" s="110" t="s">
        <v>555</v>
      </c>
      <c r="D96" s="119" t="s">
        <v>48</v>
      </c>
      <c r="E96" s="80"/>
      <c r="F96" s="80"/>
      <c r="G96" s="80"/>
      <c r="H96" s="83"/>
      <c r="I96" s="80"/>
      <c r="J96" s="80"/>
      <c r="K96" s="80"/>
      <c r="L96" s="80"/>
      <c r="M96" s="84"/>
      <c r="N96" s="80"/>
      <c r="P96" s="803"/>
      <c r="Q96" s="129" t="s">
        <v>90</v>
      </c>
      <c r="R96" s="317">
        <f>+IF(ROUND(E95,1)=ROUND(F101,1),ROUND(E95,1),"error")</f>
        <v>0</v>
      </c>
      <c r="S96" s="318">
        <f>+IF(AND(F95=0,F102=0),0,"error")</f>
        <v>0</v>
      </c>
      <c r="T96" s="319">
        <f>+IF(ROUND(H95,1)=ROUND(F103,1),ROUND(H95,1),"error")</f>
        <v>0</v>
      </c>
      <c r="U96" s="319">
        <f>+IF(ROUND(I95,1)=ROUND(F104,1),ROUND(I95,1),"error")</f>
        <v>0</v>
      </c>
      <c r="V96" s="319">
        <f>+IF(ROUND(J95,1)=ROUND(F105,1),ROUND(J95,1),"error")</f>
        <v>0</v>
      </c>
      <c r="W96" s="320">
        <f>+IF(ROUND(K95,1)=ROUND(F106,1),ROUND(K95,1),"error")</f>
        <v>0</v>
      </c>
      <c r="X96" s="321">
        <f>+IF(OR(R96="error",S96="error",U96="error",V96="error",W96="error"),"error",SUM(R96:S96,U96:W96))</f>
        <v>0</v>
      </c>
    </row>
    <row r="97" spans="1:24" ht="12.95" customHeight="1" x14ac:dyDescent="0.2">
      <c r="A97" s="143" t="s">
        <v>2356</v>
      </c>
      <c r="B97" s="114" t="s">
        <v>1510</v>
      </c>
      <c r="C97" s="110" t="s">
        <v>282</v>
      </c>
      <c r="D97" s="119" t="s">
        <v>48</v>
      </c>
      <c r="E97" s="80"/>
      <c r="F97" s="80"/>
      <c r="G97" s="80"/>
      <c r="H97" s="83"/>
      <c r="I97" s="80"/>
      <c r="J97" s="80"/>
      <c r="K97" s="80"/>
      <c r="L97" s="80"/>
      <c r="M97" s="84"/>
      <c r="N97" s="80"/>
      <c r="P97" s="803"/>
      <c r="Q97" s="129" t="s">
        <v>22</v>
      </c>
      <c r="R97" s="317">
        <f>+IF(ROUND(E96,1)=ROUND(H101,1),ROUND(E96,1),"error")</f>
        <v>0</v>
      </c>
      <c r="S97" s="319">
        <f>+IF(ROUND(F96,1)=ROUND(H102,1),ROUND(F96,1),"error")</f>
        <v>0</v>
      </c>
      <c r="T97" s="318">
        <f>+IF(AND(H96=0,H103=0),0,"error")</f>
        <v>0</v>
      </c>
      <c r="U97" s="319">
        <f>+IF(ROUND(I96,1)=ROUND(H104,1),ROUND(I96,1),"error")</f>
        <v>0</v>
      </c>
      <c r="V97" s="319">
        <f>+IF(ROUND(J96,1)=ROUND(H105,1),ROUND(J96,1),"error")</f>
        <v>0</v>
      </c>
      <c r="W97" s="320">
        <f>+IF(ROUND(K96,1)=ROUND(H106,1),ROUND(K96,1),"error")</f>
        <v>0</v>
      </c>
      <c r="X97" s="321">
        <f>+IF(OR(T97="error",U97="error",V97="error",W97="error"),"error",SUM(T97:W97))</f>
        <v>0</v>
      </c>
    </row>
    <row r="98" spans="1:24" ht="12.95" customHeight="1" x14ac:dyDescent="0.2">
      <c r="A98" s="143" t="s">
        <v>2357</v>
      </c>
      <c r="B98" s="114" t="s">
        <v>1526</v>
      </c>
      <c r="C98" s="110" t="s">
        <v>283</v>
      </c>
      <c r="D98" s="119" t="s">
        <v>48</v>
      </c>
      <c r="E98" s="80"/>
      <c r="F98" s="80"/>
      <c r="G98" s="80"/>
      <c r="H98" s="83"/>
      <c r="I98" s="80"/>
      <c r="J98" s="80"/>
      <c r="K98" s="80"/>
      <c r="L98" s="80"/>
      <c r="M98" s="84"/>
      <c r="N98" s="80"/>
      <c r="P98" s="803"/>
      <c r="Q98" s="130" t="s">
        <v>21</v>
      </c>
      <c r="R98" s="322">
        <f>+IF(ROUND(E97,1)=ROUND(I101,1),ROUND(E97,1),"error")</f>
        <v>0</v>
      </c>
      <c r="S98" s="323">
        <f>+IF(ROUND(F97,1)=ROUND(I102,1),ROUND(F97,1),"error")</f>
        <v>0</v>
      </c>
      <c r="T98" s="323">
        <f>+IF(ROUND(H97,1)=ROUND(I103,1),ROUND(H97,1),"error")</f>
        <v>0</v>
      </c>
      <c r="U98" s="324">
        <f>+IF(AND(I97=0,I104=0),0,"error")</f>
        <v>0</v>
      </c>
      <c r="V98" s="323">
        <f>+IF(ROUND(J97,1)=ROUND(I105,1),ROUND(J97,1),"error")</f>
        <v>0</v>
      </c>
      <c r="W98" s="325">
        <f>+IF(ROUND(K97,1)=ROUND(I106,1),ROUND(K97,1),"error")</f>
        <v>0</v>
      </c>
      <c r="X98" s="321">
        <f>+IF(OR(R98="error",S98="error",U98="error",V98="error",W98="error"),"error",SUM(R98:S98,U98:W98))</f>
        <v>0</v>
      </c>
    </row>
    <row r="99" spans="1:24" ht="12.95" customHeight="1" x14ac:dyDescent="0.2">
      <c r="A99" s="143" t="s">
        <v>2358</v>
      </c>
      <c r="B99" s="114" t="s">
        <v>1542</v>
      </c>
      <c r="C99" s="110" t="s">
        <v>284</v>
      </c>
      <c r="D99" s="119" t="s">
        <v>48</v>
      </c>
      <c r="E99" s="80"/>
      <c r="F99" s="80"/>
      <c r="G99" s="80"/>
      <c r="H99" s="83"/>
      <c r="I99" s="80"/>
      <c r="J99" s="80"/>
      <c r="K99" s="80"/>
      <c r="L99" s="80"/>
      <c r="M99" s="84"/>
      <c r="N99" s="80"/>
      <c r="P99" s="803"/>
      <c r="Q99" s="129" t="s">
        <v>23</v>
      </c>
      <c r="R99" s="322">
        <f>+IF(ROUND(E98,1)=ROUND(J101,1),ROUND(E98,1),"error")</f>
        <v>0</v>
      </c>
      <c r="S99" s="323">
        <f>+IF(ROUND(F98,1)=ROUND(J102,1),ROUND(F98,1),"error")</f>
        <v>0</v>
      </c>
      <c r="T99" s="323">
        <f>+IF(ROUND(H98,1)=ROUND(J103,1),ROUND(H98,1),"error")</f>
        <v>0</v>
      </c>
      <c r="U99" s="326">
        <f>+IF(ROUND(I98,1)=ROUND(J104,1),ROUND(I98,1),"error")</f>
        <v>0</v>
      </c>
      <c r="V99" s="324">
        <f>+IF(AND(J98=0,J105=0),0,"error")</f>
        <v>0</v>
      </c>
      <c r="W99" s="325">
        <f>+IF(ROUND(K98,1)=ROUND(J106,1),ROUND(K98,1),"error")</f>
        <v>0</v>
      </c>
      <c r="X99" s="321">
        <f>+IF(OR(R99="error",S99="error",U99="error",V99="error",W99="error"),"error",SUM(R99:S99,U99:W99))</f>
        <v>0</v>
      </c>
    </row>
    <row r="100" spans="1:24" ht="12.95" customHeight="1" x14ac:dyDescent="0.2">
      <c r="A100" s="143"/>
      <c r="B100" s="117" t="s">
        <v>1429</v>
      </c>
      <c r="C100" s="133"/>
      <c r="D100" s="328"/>
      <c r="E100" s="310"/>
      <c r="F100" s="310"/>
      <c r="G100" s="310"/>
      <c r="H100" s="311"/>
      <c r="I100" s="310"/>
      <c r="J100" s="310"/>
      <c r="K100" s="311"/>
      <c r="L100" s="310"/>
      <c r="M100" s="312"/>
      <c r="N100" s="310"/>
      <c r="P100" s="803"/>
      <c r="Q100" s="131" t="s">
        <v>24</v>
      </c>
      <c r="R100" s="322">
        <f>+IF(ROUND(E99,1)=ROUND(K101,1),ROUND(E99,1),"error")</f>
        <v>0</v>
      </c>
      <c r="S100" s="323">
        <f>+IF(ROUND(F99,1)=ROUND(K102,1),ROUND(F99,1),"error")</f>
        <v>0</v>
      </c>
      <c r="T100" s="323">
        <f>+IF(ROUND(H99,1)=ROUND(K103,1),ROUND(H99,1),"error")</f>
        <v>0</v>
      </c>
      <c r="U100" s="326">
        <f>+IF(ROUND(I99,1)=ROUND(K104,1),ROUND(I99,1),"error")</f>
        <v>0</v>
      </c>
      <c r="V100" s="326">
        <f>+IF(ROUND(J99,1)=ROUND(K105,1),ROUND(J99,1),"error")</f>
        <v>0</v>
      </c>
      <c r="W100" s="327">
        <f>+IF(AND(K99=0,K106=0),0,"error")</f>
        <v>0</v>
      </c>
      <c r="X100" s="321">
        <f>+IF(OR(R100="error",S100="error",U100="error",V100="error",W100="error"),"error",SUM(R100:S100,U100:W100))</f>
        <v>0</v>
      </c>
    </row>
    <row r="101" spans="1:24" ht="12.95" customHeight="1" x14ac:dyDescent="0.2">
      <c r="A101" s="143" t="s">
        <v>2359</v>
      </c>
      <c r="B101" s="114" t="s">
        <v>1463</v>
      </c>
      <c r="C101" s="110" t="s">
        <v>1430</v>
      </c>
      <c r="D101" s="119" t="s">
        <v>48</v>
      </c>
      <c r="E101" s="80"/>
      <c r="F101" s="80"/>
      <c r="G101" s="80"/>
      <c r="H101" s="83"/>
      <c r="I101" s="80"/>
      <c r="J101" s="80"/>
      <c r="K101" s="83"/>
      <c r="L101" s="80"/>
      <c r="M101" s="84"/>
      <c r="N101" s="80"/>
      <c r="P101" s="804"/>
      <c r="Q101" s="132" t="s">
        <v>1439</v>
      </c>
      <c r="R101" s="329">
        <f>+IF(OR(R95="error",R96="error",R98="error",R99="error",R100="error"),"error",SUM(R95:R96,R98:R100))</f>
        <v>0</v>
      </c>
      <c r="S101" s="329">
        <f>+IF(OR(S95="error",S96="error",S98="error",S99="error",S100="error"),"error",SUM(S95:S96,S98:S100))</f>
        <v>0</v>
      </c>
      <c r="T101" s="330">
        <f>+IF(OR(T97="error",T98="error",T99="error",T100="error"),"error",SUM(T97:T100))</f>
        <v>0</v>
      </c>
      <c r="U101" s="330">
        <f>+IF(OR(U95="error",U96="error",U98="error",U99="error",U100="error"),"error",SUM(U95:U96,U98:U100))</f>
        <v>0</v>
      </c>
      <c r="V101" s="330">
        <f>+IF(OR(V95="error",V96="error",V98="error",V99="error",V100="error"),"error",SUM(V95:V96,V98:V100))</f>
        <v>0</v>
      </c>
      <c r="W101" s="330">
        <f>+IF(OR(W95="error",W96="error",W98="error",W99="error",W100="error"),"error",SUM(W95:W96,W98:W100))</f>
        <v>0</v>
      </c>
      <c r="X101" s="331"/>
    </row>
    <row r="102" spans="1:24" ht="12.95" customHeight="1" x14ac:dyDescent="0.2">
      <c r="A102" s="143" t="s">
        <v>2360</v>
      </c>
      <c r="B102" s="114" t="s">
        <v>1479</v>
      </c>
      <c r="C102" s="110" t="s">
        <v>1431</v>
      </c>
      <c r="D102" s="119" t="s">
        <v>48</v>
      </c>
      <c r="E102" s="80"/>
      <c r="F102" s="80"/>
      <c r="G102" s="80"/>
      <c r="H102" s="83"/>
      <c r="I102" s="80"/>
      <c r="J102" s="80"/>
      <c r="K102" s="83"/>
      <c r="L102" s="80"/>
      <c r="M102" s="84"/>
      <c r="N102" s="80"/>
      <c r="P102" s="344"/>
      <c r="Q102" s="342"/>
      <c r="R102" s="343"/>
      <c r="S102" s="343"/>
      <c r="T102" s="343"/>
      <c r="U102" s="343"/>
      <c r="V102" s="343"/>
      <c r="W102" s="343"/>
      <c r="X102" s="334"/>
    </row>
    <row r="103" spans="1:24" ht="12.95" customHeight="1" x14ac:dyDescent="0.2">
      <c r="A103" s="143" t="s">
        <v>2361</v>
      </c>
      <c r="B103" s="114" t="s">
        <v>1495</v>
      </c>
      <c r="C103" s="110" t="s">
        <v>1432</v>
      </c>
      <c r="D103" s="119" t="s">
        <v>48</v>
      </c>
      <c r="E103" s="80"/>
      <c r="F103" s="80"/>
      <c r="G103" s="80"/>
      <c r="H103" s="83"/>
      <c r="I103" s="80"/>
      <c r="J103" s="80"/>
      <c r="K103" s="83"/>
      <c r="L103" s="80"/>
      <c r="M103" s="84"/>
      <c r="N103" s="80"/>
      <c r="P103" s="340"/>
      <c r="Q103" s="332"/>
      <c r="R103" s="333"/>
      <c r="S103" s="333"/>
      <c r="T103" s="333"/>
      <c r="U103" s="333"/>
      <c r="V103" s="333"/>
      <c r="W103" s="333"/>
      <c r="X103" s="333"/>
    </row>
    <row r="104" spans="1:24" ht="12.95" customHeight="1" x14ac:dyDescent="0.2">
      <c r="A104" s="143" t="s">
        <v>2362</v>
      </c>
      <c r="B104" s="114" t="s">
        <v>1511</v>
      </c>
      <c r="C104" s="110" t="s">
        <v>1433</v>
      </c>
      <c r="D104" s="119" t="s">
        <v>48</v>
      </c>
      <c r="E104" s="80"/>
      <c r="F104" s="80"/>
      <c r="G104" s="80"/>
      <c r="H104" s="83"/>
      <c r="I104" s="80"/>
      <c r="J104" s="80"/>
      <c r="K104" s="83"/>
      <c r="L104" s="80"/>
      <c r="M104" s="84"/>
      <c r="N104" s="80"/>
      <c r="P104" s="340"/>
      <c r="Q104" s="332"/>
      <c r="R104" s="333"/>
      <c r="S104" s="333"/>
      <c r="T104" s="333"/>
      <c r="U104" s="333"/>
      <c r="V104" s="333"/>
      <c r="W104" s="333"/>
      <c r="X104" s="333"/>
    </row>
    <row r="105" spans="1:24" ht="12.95" customHeight="1" x14ac:dyDescent="0.2">
      <c r="A105" s="143" t="s">
        <v>2363</v>
      </c>
      <c r="B105" s="114" t="s">
        <v>1527</v>
      </c>
      <c r="C105" s="110" t="s">
        <v>1434</v>
      </c>
      <c r="D105" s="119" t="s">
        <v>48</v>
      </c>
      <c r="E105" s="80"/>
      <c r="F105" s="80"/>
      <c r="G105" s="80"/>
      <c r="H105" s="83"/>
      <c r="I105" s="80"/>
      <c r="J105" s="80"/>
      <c r="K105" s="83"/>
      <c r="L105" s="80"/>
      <c r="M105" s="84"/>
      <c r="N105" s="80"/>
      <c r="P105" s="340"/>
      <c r="Q105" s="332"/>
      <c r="R105" s="333"/>
      <c r="S105" s="333"/>
      <c r="T105" s="333"/>
      <c r="U105" s="333"/>
      <c r="V105" s="333"/>
      <c r="W105" s="333"/>
      <c r="X105" s="333"/>
    </row>
    <row r="106" spans="1:24" ht="12.95" customHeight="1" x14ac:dyDescent="0.2">
      <c r="A106" s="143" t="s">
        <v>2364</v>
      </c>
      <c r="B106" s="115" t="s">
        <v>1543</v>
      </c>
      <c r="C106" s="113" t="s">
        <v>1435</v>
      </c>
      <c r="D106" s="335" t="s">
        <v>48</v>
      </c>
      <c r="E106" s="82"/>
      <c r="F106" s="82"/>
      <c r="G106" s="82"/>
      <c r="H106" s="85"/>
      <c r="I106" s="82"/>
      <c r="J106" s="82"/>
      <c r="K106" s="85"/>
      <c r="L106" s="82"/>
      <c r="M106" s="86"/>
      <c r="N106" s="82"/>
      <c r="P106" s="340"/>
      <c r="Q106" s="332"/>
      <c r="R106" s="333"/>
      <c r="S106" s="333"/>
      <c r="T106" s="333"/>
      <c r="U106" s="333"/>
      <c r="V106" s="333"/>
      <c r="W106" s="333"/>
      <c r="X106" s="333"/>
    </row>
    <row r="107" spans="1:24" ht="12.95" customHeight="1" x14ac:dyDescent="0.2">
      <c r="A107" s="143"/>
      <c r="P107" s="340"/>
      <c r="Q107" s="332"/>
      <c r="R107" s="333"/>
      <c r="S107" s="333"/>
      <c r="T107" s="333"/>
      <c r="U107" s="333"/>
      <c r="V107" s="333"/>
      <c r="W107" s="333"/>
      <c r="X107" s="333"/>
    </row>
    <row r="108" spans="1:24" ht="12.95" customHeight="1" x14ac:dyDescent="0.2">
      <c r="A108" s="143"/>
      <c r="E108" s="298" t="s">
        <v>1426</v>
      </c>
      <c r="F108" s="299"/>
      <c r="G108" s="299"/>
      <c r="H108" s="299"/>
      <c r="I108" s="299"/>
      <c r="J108" s="299"/>
      <c r="K108" s="299"/>
      <c r="L108" s="299"/>
      <c r="M108" s="299"/>
      <c r="N108" s="300"/>
      <c r="P108" s="340"/>
      <c r="Q108" s="332"/>
      <c r="R108" s="333"/>
      <c r="S108" s="333"/>
      <c r="T108" s="333"/>
      <c r="U108" s="333"/>
      <c r="V108" s="333"/>
      <c r="W108" s="333"/>
      <c r="X108" s="333"/>
    </row>
    <row r="109" spans="1:24" ht="12.95" customHeight="1" x14ac:dyDescent="0.2">
      <c r="A109" s="143"/>
      <c r="E109" s="124" t="s">
        <v>632</v>
      </c>
      <c r="F109" s="125" t="s">
        <v>633</v>
      </c>
      <c r="G109" s="126" t="s">
        <v>155</v>
      </c>
      <c r="H109" s="125" t="s">
        <v>634</v>
      </c>
      <c r="I109" s="126" t="s">
        <v>635</v>
      </c>
      <c r="J109" s="125" t="s">
        <v>636</v>
      </c>
      <c r="K109" s="126" t="s">
        <v>637</v>
      </c>
      <c r="L109" s="125" t="s">
        <v>156</v>
      </c>
      <c r="M109" s="127" t="s">
        <v>638</v>
      </c>
      <c r="N109" s="127" t="s">
        <v>639</v>
      </c>
      <c r="P109" s="162"/>
      <c r="Q109" s="301"/>
      <c r="R109" s="805" t="s">
        <v>688</v>
      </c>
      <c r="S109" s="806"/>
      <c r="T109" s="806"/>
      <c r="U109" s="806"/>
      <c r="V109" s="806"/>
      <c r="W109" s="806"/>
      <c r="X109" s="807"/>
    </row>
    <row r="110" spans="1:24" x14ac:dyDescent="0.2">
      <c r="A110" s="143"/>
      <c r="B110" s="134" t="s">
        <v>1437</v>
      </c>
      <c r="C110" s="135"/>
      <c r="D110" s="304"/>
      <c r="E110" s="305"/>
      <c r="F110" s="305"/>
      <c r="G110" s="305"/>
      <c r="H110" s="306"/>
      <c r="I110" s="305"/>
      <c r="J110" s="305"/>
      <c r="K110" s="306"/>
      <c r="L110" s="305"/>
      <c r="M110" s="307"/>
      <c r="N110" s="305"/>
      <c r="P110" s="302" t="s">
        <v>674</v>
      </c>
      <c r="Q110" s="303"/>
      <c r="R110" s="810" t="s">
        <v>89</v>
      </c>
      <c r="S110" s="798" t="s">
        <v>90</v>
      </c>
      <c r="T110" s="798" t="s">
        <v>22</v>
      </c>
      <c r="U110" s="798" t="s">
        <v>21</v>
      </c>
      <c r="V110" s="798" t="s">
        <v>23</v>
      </c>
      <c r="W110" s="800" t="s">
        <v>24</v>
      </c>
      <c r="X110" s="808" t="s">
        <v>1440</v>
      </c>
    </row>
    <row r="111" spans="1:24" ht="12.95" customHeight="1" x14ac:dyDescent="0.2">
      <c r="A111" s="143" t="s">
        <v>2365</v>
      </c>
      <c r="B111" s="114" t="s">
        <v>1464</v>
      </c>
      <c r="C111" s="110" t="s">
        <v>281</v>
      </c>
      <c r="D111" s="119" t="s">
        <v>48</v>
      </c>
      <c r="E111" s="80"/>
      <c r="F111" s="80"/>
      <c r="G111" s="80"/>
      <c r="H111" s="83"/>
      <c r="I111" s="80"/>
      <c r="J111" s="80"/>
      <c r="K111" s="80"/>
      <c r="L111" s="80"/>
      <c r="M111" s="84"/>
      <c r="N111" s="80"/>
      <c r="P111" s="308"/>
      <c r="Q111" s="309"/>
      <c r="R111" s="811"/>
      <c r="S111" s="799"/>
      <c r="T111" s="799"/>
      <c r="U111" s="799"/>
      <c r="V111" s="799"/>
      <c r="W111" s="801"/>
      <c r="X111" s="809"/>
    </row>
    <row r="112" spans="1:24" ht="12.95" customHeight="1" x14ac:dyDescent="0.2">
      <c r="A112" s="143" t="s">
        <v>2366</v>
      </c>
      <c r="B112" s="114" t="s">
        <v>1480</v>
      </c>
      <c r="C112" s="110" t="s">
        <v>295</v>
      </c>
      <c r="D112" s="119" t="s">
        <v>48</v>
      </c>
      <c r="E112" s="80"/>
      <c r="F112" s="80"/>
      <c r="G112" s="80"/>
      <c r="H112" s="83"/>
      <c r="I112" s="80"/>
      <c r="J112" s="80"/>
      <c r="K112" s="80"/>
      <c r="L112" s="80"/>
      <c r="M112" s="84"/>
      <c r="N112" s="80"/>
      <c r="P112" s="802" t="s">
        <v>694</v>
      </c>
      <c r="Q112" s="128" t="s">
        <v>89</v>
      </c>
      <c r="R112" s="313">
        <f>+IF(AND(E111=0,E118=0),0,"error")</f>
        <v>0</v>
      </c>
      <c r="S112" s="314">
        <f>+IF(ROUND(F111,1)=ROUND(E119,1),ROUND(F111,1),"error")</f>
        <v>0</v>
      </c>
      <c r="T112" s="314">
        <f>+IF(ROUND(H111,1)=ROUND(E120,1),ROUND(H111,1),"error")</f>
        <v>0</v>
      </c>
      <c r="U112" s="314">
        <f>+IF(ROUND(I111,1)=ROUND(E121,1),ROUND(I111,1),"error")</f>
        <v>0</v>
      </c>
      <c r="V112" s="314">
        <f>+IF(ROUND(J111,1)=ROUND(E122,1),ROUND(J111,1),"error")</f>
        <v>0</v>
      </c>
      <c r="W112" s="315">
        <f>+IF(ROUND(K111,1)=ROUND(E123,1),ROUND(K111,1),"error")</f>
        <v>0</v>
      </c>
      <c r="X112" s="316">
        <f>+IF(OR(R112="error",S112="error",U112="error",V112="error",W112="error"),"error",SUM(R112:S112,U112:W112))</f>
        <v>0</v>
      </c>
    </row>
    <row r="113" spans="1:24" ht="12.95" customHeight="1" x14ac:dyDescent="0.2">
      <c r="A113" s="143" t="s">
        <v>2367</v>
      </c>
      <c r="B113" s="114" t="s">
        <v>1496</v>
      </c>
      <c r="C113" s="110" t="s">
        <v>555</v>
      </c>
      <c r="D113" s="119" t="s">
        <v>48</v>
      </c>
      <c r="E113" s="80"/>
      <c r="F113" s="80"/>
      <c r="G113" s="80"/>
      <c r="H113" s="83"/>
      <c r="I113" s="80"/>
      <c r="J113" s="80"/>
      <c r="K113" s="80"/>
      <c r="L113" s="80"/>
      <c r="M113" s="84"/>
      <c r="N113" s="80"/>
      <c r="P113" s="803"/>
      <c r="Q113" s="129" t="s">
        <v>90</v>
      </c>
      <c r="R113" s="317">
        <f>+IF(ROUND(E112,1)=ROUND(F118,1),ROUND(E112,1),"error")</f>
        <v>0</v>
      </c>
      <c r="S113" s="318">
        <f>+IF(AND(F112=0,F119=0),0,"error")</f>
        <v>0</v>
      </c>
      <c r="T113" s="319">
        <f>+IF(ROUND(H112,1)=ROUND(F120,1),ROUND(H112,1),"error")</f>
        <v>0</v>
      </c>
      <c r="U113" s="319">
        <f>+IF(ROUND(I112,1)=ROUND(F121,1),ROUND(I112,1),"error")</f>
        <v>0</v>
      </c>
      <c r="V113" s="319">
        <f>+IF(ROUND(J112,1)=ROUND(F122,1),ROUND(J112,1),"error")</f>
        <v>0</v>
      </c>
      <c r="W113" s="320">
        <f>+IF(ROUND(K112,1)=ROUND(F123,1),ROUND(K112,1),"error")</f>
        <v>0</v>
      </c>
      <c r="X113" s="321">
        <f>+IF(OR(R113="error",S113="error",U113="error",V113="error",W113="error"),"error",SUM(R113:S113,U113:W113))</f>
        <v>0</v>
      </c>
    </row>
    <row r="114" spans="1:24" ht="12.95" customHeight="1" x14ac:dyDescent="0.2">
      <c r="A114" s="143" t="s">
        <v>2368</v>
      </c>
      <c r="B114" s="114" t="s">
        <v>1512</v>
      </c>
      <c r="C114" s="110" t="s">
        <v>282</v>
      </c>
      <c r="D114" s="119" t="s">
        <v>48</v>
      </c>
      <c r="E114" s="80"/>
      <c r="F114" s="80"/>
      <c r="G114" s="80"/>
      <c r="H114" s="83"/>
      <c r="I114" s="80"/>
      <c r="J114" s="80"/>
      <c r="K114" s="80"/>
      <c r="L114" s="80"/>
      <c r="M114" s="84"/>
      <c r="N114" s="80"/>
      <c r="P114" s="803"/>
      <c r="Q114" s="129" t="s">
        <v>22</v>
      </c>
      <c r="R114" s="317">
        <f>+IF(ROUND(E113,1)=ROUND(H118,1),ROUND(E113,1),"error")</f>
        <v>0</v>
      </c>
      <c r="S114" s="319">
        <f>+IF(ROUND(F113,1)=ROUND(H119,1),ROUND(F113,1),"error")</f>
        <v>0</v>
      </c>
      <c r="T114" s="318">
        <f>+IF(AND(H113=0,H120=0),0,"error")</f>
        <v>0</v>
      </c>
      <c r="U114" s="319">
        <f>+IF(ROUND(I113,1)=ROUND(H121,1),ROUND(I113,1),"error")</f>
        <v>0</v>
      </c>
      <c r="V114" s="319">
        <f>+IF(ROUND(J113,1)=ROUND(H122,1),ROUND(J113,1),"error")</f>
        <v>0</v>
      </c>
      <c r="W114" s="320">
        <f>+IF(ROUND(K113,1)=ROUND(H123,1),ROUND(K113,1),"error")</f>
        <v>0</v>
      </c>
      <c r="X114" s="321">
        <f>+IF(OR(T114="error",U114="error",V114="error",W114="error"),"error",SUM(T114:W114))</f>
        <v>0</v>
      </c>
    </row>
    <row r="115" spans="1:24" ht="12.95" customHeight="1" x14ac:dyDescent="0.2">
      <c r="A115" s="143" t="s">
        <v>2369</v>
      </c>
      <c r="B115" s="114" t="s">
        <v>1528</v>
      </c>
      <c r="C115" s="110" t="s">
        <v>283</v>
      </c>
      <c r="D115" s="119" t="s">
        <v>48</v>
      </c>
      <c r="E115" s="80"/>
      <c r="F115" s="80"/>
      <c r="G115" s="80"/>
      <c r="H115" s="83"/>
      <c r="I115" s="80"/>
      <c r="J115" s="80"/>
      <c r="K115" s="80"/>
      <c r="L115" s="80"/>
      <c r="M115" s="84"/>
      <c r="N115" s="80"/>
      <c r="P115" s="803"/>
      <c r="Q115" s="130" t="s">
        <v>21</v>
      </c>
      <c r="R115" s="322">
        <f>+IF(ROUND(E114,1)=ROUND(I118,1),ROUND(E114,1),"error")</f>
        <v>0</v>
      </c>
      <c r="S115" s="323">
        <f>+IF(ROUND(F114,1)=ROUND(I119,1),ROUND(F114,1),"error")</f>
        <v>0</v>
      </c>
      <c r="T115" s="323">
        <f>+IF(ROUND(H114,1)=ROUND(I120,1),ROUND(H114,1),"error")</f>
        <v>0</v>
      </c>
      <c r="U115" s="324">
        <f>+IF(AND(I114=0,I121=0),0,"error")</f>
        <v>0</v>
      </c>
      <c r="V115" s="323">
        <f>+IF(ROUND(J114,1)=ROUND(I122,1),ROUND(J114,1),"error")</f>
        <v>0</v>
      </c>
      <c r="W115" s="325">
        <f>+IF(ROUND(K114,1)=ROUND(I123,1),ROUND(K114,1),"error")</f>
        <v>0</v>
      </c>
      <c r="X115" s="321">
        <f>+IF(OR(R115="error",S115="error",U115="error",V115="error",W115="error"),"error",SUM(R115:S115,U115:W115))</f>
        <v>0</v>
      </c>
    </row>
    <row r="116" spans="1:24" ht="12.95" customHeight="1" x14ac:dyDescent="0.2">
      <c r="A116" s="143" t="s">
        <v>2370</v>
      </c>
      <c r="B116" s="114" t="s">
        <v>1544</v>
      </c>
      <c r="C116" s="110" t="s">
        <v>284</v>
      </c>
      <c r="D116" s="119" t="s">
        <v>48</v>
      </c>
      <c r="E116" s="80"/>
      <c r="F116" s="80"/>
      <c r="G116" s="80"/>
      <c r="H116" s="83"/>
      <c r="I116" s="80"/>
      <c r="J116" s="80"/>
      <c r="K116" s="80"/>
      <c r="L116" s="80"/>
      <c r="M116" s="84"/>
      <c r="N116" s="80"/>
      <c r="P116" s="803"/>
      <c r="Q116" s="129" t="s">
        <v>23</v>
      </c>
      <c r="R116" s="322">
        <f>+IF(ROUND(E115,1)=ROUND(J118,1),ROUND(E115,1),"error")</f>
        <v>0</v>
      </c>
      <c r="S116" s="323">
        <f>+IF(ROUND(F115,1)=ROUND(J119,1),ROUND(F115,1),"error")</f>
        <v>0</v>
      </c>
      <c r="T116" s="323">
        <f>+IF(ROUND(H115,1)=ROUND(J120,1),ROUND(H115,1),"error")</f>
        <v>0</v>
      </c>
      <c r="U116" s="326">
        <f>+IF(ROUND(I115,1)=ROUND(J121,1),ROUND(I115,1),"error")</f>
        <v>0</v>
      </c>
      <c r="V116" s="324">
        <f>+IF(AND(J115=0,J122=0),0,"error")</f>
        <v>0</v>
      </c>
      <c r="W116" s="325">
        <f>+IF(ROUND(K115,1)=ROUND(J123,1),ROUND(K115,1),"error")</f>
        <v>0</v>
      </c>
      <c r="X116" s="321">
        <f>+IF(OR(R116="error",S116="error",U116="error",V116="error",W116="error"),"error",SUM(R116:S116,U116:W116))</f>
        <v>0</v>
      </c>
    </row>
    <row r="117" spans="1:24" ht="12.95" customHeight="1" x14ac:dyDescent="0.2">
      <c r="A117" s="143"/>
      <c r="B117" s="117" t="s">
        <v>1442</v>
      </c>
      <c r="C117" s="133"/>
      <c r="D117" s="328"/>
      <c r="E117" s="310"/>
      <c r="F117" s="310"/>
      <c r="G117" s="310"/>
      <c r="H117" s="311"/>
      <c r="I117" s="310"/>
      <c r="J117" s="310"/>
      <c r="K117" s="311"/>
      <c r="L117" s="310"/>
      <c r="M117" s="312"/>
      <c r="N117" s="310"/>
      <c r="P117" s="803"/>
      <c r="Q117" s="131" t="s">
        <v>24</v>
      </c>
      <c r="R117" s="322">
        <f>+IF(ROUND(E116,1)=ROUND(K118,1),ROUND(E116,1),"error")</f>
        <v>0</v>
      </c>
      <c r="S117" s="323">
        <f>+IF(ROUND(F116,1)=ROUND(K119,1),ROUND(F116,1),"error")</f>
        <v>0</v>
      </c>
      <c r="T117" s="323">
        <f>+IF(ROUND(H116,1)=ROUND(K120,1),ROUND(H116,1),"error")</f>
        <v>0</v>
      </c>
      <c r="U117" s="326">
        <f>+IF(ROUND(I116,1)=ROUND(K121,1),ROUND(I116,1),"error")</f>
        <v>0</v>
      </c>
      <c r="V117" s="326">
        <f>+IF(ROUND(J116,1)=ROUND(K122,1),ROUND(J116,1),"error")</f>
        <v>0</v>
      </c>
      <c r="W117" s="327">
        <f>+IF(AND(K116=0,K123=0),0,"error")</f>
        <v>0</v>
      </c>
      <c r="X117" s="321">
        <f>+IF(OR(R117="error",S117="error",U117="error",V117="error",W117="error"),"error",SUM(R117:S117,U117:W117))</f>
        <v>0</v>
      </c>
    </row>
    <row r="118" spans="1:24" ht="12.95" customHeight="1" x14ac:dyDescent="0.2">
      <c r="A118" s="143" t="s">
        <v>2371</v>
      </c>
      <c r="B118" s="114" t="s">
        <v>1465</v>
      </c>
      <c r="C118" s="110" t="s">
        <v>290</v>
      </c>
      <c r="D118" s="119" t="s">
        <v>48</v>
      </c>
      <c r="E118" s="80"/>
      <c r="F118" s="80"/>
      <c r="G118" s="80"/>
      <c r="H118" s="83"/>
      <c r="I118" s="80"/>
      <c r="J118" s="80"/>
      <c r="K118" s="83"/>
      <c r="L118" s="80"/>
      <c r="M118" s="84"/>
      <c r="N118" s="80"/>
      <c r="P118" s="804"/>
      <c r="Q118" s="132" t="s">
        <v>15</v>
      </c>
      <c r="R118" s="329">
        <f>+IF(OR(R112="error",R113="error",R115="error",R116="error",R117="error"),"error",SUM(R112:R113,R115:R117))</f>
        <v>0</v>
      </c>
      <c r="S118" s="329">
        <f>+IF(OR(S112="error",S113="error",S115="error",S116="error",S117="error"),"error",SUM(S112:S113,S115:S117))</f>
        <v>0</v>
      </c>
      <c r="T118" s="330">
        <f>+IF(OR(T114="error",T115="error",T116="error",T117="error"),"error",SUM(T114:T117))</f>
        <v>0</v>
      </c>
      <c r="U118" s="330">
        <f>+IF(OR(U112="error",U113="error",U115="error",U116="error",U117="error"),"error",SUM(U112:U113,U115:U117))</f>
        <v>0</v>
      </c>
      <c r="V118" s="330">
        <f>+IF(OR(V112="error",V113="error",V115="error",V116="error",V117="error"),"error",SUM(V112:V113,V115:V117))</f>
        <v>0</v>
      </c>
      <c r="W118" s="330">
        <f>+IF(OR(W112="error",W113="error",W115="error",W116="error",W117="error"),"error",SUM(W112:W113,W115:W117))</f>
        <v>0</v>
      </c>
      <c r="X118" s="331"/>
    </row>
    <row r="119" spans="1:24" ht="12.95" customHeight="1" x14ac:dyDescent="0.2">
      <c r="A119" s="143" t="s">
        <v>2372</v>
      </c>
      <c r="B119" s="114" t="s">
        <v>1481</v>
      </c>
      <c r="C119" s="110" t="s">
        <v>294</v>
      </c>
      <c r="D119" s="119" t="s">
        <v>48</v>
      </c>
      <c r="E119" s="80"/>
      <c r="F119" s="80"/>
      <c r="G119" s="80"/>
      <c r="H119" s="83"/>
      <c r="I119" s="80"/>
      <c r="J119" s="80"/>
      <c r="K119" s="83"/>
      <c r="L119" s="80"/>
      <c r="M119" s="84"/>
      <c r="N119" s="80"/>
      <c r="P119" s="344"/>
      <c r="Q119" s="342"/>
      <c r="R119" s="343"/>
      <c r="S119" s="343"/>
      <c r="T119" s="343"/>
      <c r="U119" s="343"/>
      <c r="V119" s="343"/>
      <c r="W119" s="343"/>
      <c r="X119" s="334"/>
    </row>
    <row r="120" spans="1:24" ht="12.95" customHeight="1" x14ac:dyDescent="0.2">
      <c r="A120" s="143" t="s">
        <v>2373</v>
      </c>
      <c r="B120" s="114" t="s">
        <v>1497</v>
      </c>
      <c r="C120" s="110" t="s">
        <v>559</v>
      </c>
      <c r="D120" s="119" t="s">
        <v>48</v>
      </c>
      <c r="E120" s="80"/>
      <c r="F120" s="80"/>
      <c r="G120" s="80"/>
      <c r="H120" s="83"/>
      <c r="I120" s="80"/>
      <c r="J120" s="80"/>
      <c r="K120" s="83"/>
      <c r="L120" s="80"/>
      <c r="M120" s="84"/>
      <c r="N120" s="80"/>
      <c r="P120" s="344"/>
      <c r="Q120" s="342"/>
      <c r="R120" s="343"/>
      <c r="S120" s="343"/>
      <c r="T120" s="343"/>
      <c r="U120" s="343"/>
      <c r="V120" s="343"/>
      <c r="W120" s="343"/>
      <c r="X120" s="345"/>
    </row>
    <row r="121" spans="1:24" ht="12.95" customHeight="1" x14ac:dyDescent="0.2">
      <c r="A121" s="143" t="s">
        <v>2374</v>
      </c>
      <c r="B121" s="114" t="s">
        <v>1513</v>
      </c>
      <c r="C121" s="110" t="s">
        <v>291</v>
      </c>
      <c r="D121" s="119" t="s">
        <v>48</v>
      </c>
      <c r="E121" s="80"/>
      <c r="F121" s="80"/>
      <c r="G121" s="80"/>
      <c r="H121" s="83"/>
      <c r="I121" s="80"/>
      <c r="J121" s="80"/>
      <c r="K121" s="83"/>
      <c r="L121" s="80"/>
      <c r="M121" s="84"/>
      <c r="N121" s="80"/>
      <c r="P121" s="344"/>
      <c r="Q121" s="342"/>
      <c r="R121" s="343"/>
      <c r="S121" s="343"/>
      <c r="T121" s="343"/>
      <c r="U121" s="343"/>
      <c r="V121" s="343"/>
      <c r="W121" s="343"/>
      <c r="X121" s="345"/>
    </row>
    <row r="122" spans="1:24" ht="12.95" customHeight="1" x14ac:dyDescent="0.2">
      <c r="A122" s="143" t="s">
        <v>2375</v>
      </c>
      <c r="B122" s="114" t="s">
        <v>1529</v>
      </c>
      <c r="C122" s="110" t="s">
        <v>292</v>
      </c>
      <c r="D122" s="119" t="s">
        <v>48</v>
      </c>
      <c r="E122" s="80"/>
      <c r="F122" s="80"/>
      <c r="G122" s="80"/>
      <c r="H122" s="83"/>
      <c r="I122" s="80"/>
      <c r="J122" s="80"/>
      <c r="K122" s="83"/>
      <c r="L122" s="80"/>
      <c r="M122" s="84"/>
      <c r="N122" s="80"/>
      <c r="P122" s="344"/>
      <c r="Q122" s="342"/>
      <c r="R122" s="343"/>
      <c r="S122" s="343"/>
      <c r="T122" s="343"/>
      <c r="U122" s="343"/>
      <c r="V122" s="343"/>
      <c r="W122" s="343"/>
      <c r="X122" s="345"/>
    </row>
    <row r="123" spans="1:24" ht="12.95" customHeight="1" x14ac:dyDescent="0.2">
      <c r="A123" s="143" t="s">
        <v>2376</v>
      </c>
      <c r="B123" s="115" t="s">
        <v>1545</v>
      </c>
      <c r="C123" s="113" t="s">
        <v>293</v>
      </c>
      <c r="D123" s="335" t="s">
        <v>48</v>
      </c>
      <c r="E123" s="82"/>
      <c r="F123" s="82"/>
      <c r="G123" s="82"/>
      <c r="H123" s="85"/>
      <c r="I123" s="82"/>
      <c r="J123" s="82"/>
      <c r="K123" s="85"/>
      <c r="L123" s="82"/>
      <c r="M123" s="86"/>
      <c r="N123" s="82"/>
      <c r="P123" s="344"/>
      <c r="Q123" s="342"/>
      <c r="R123" s="343"/>
      <c r="S123" s="343"/>
      <c r="T123" s="343"/>
      <c r="U123" s="343"/>
      <c r="V123" s="343"/>
      <c r="W123" s="343"/>
      <c r="X123" s="345"/>
    </row>
    <row r="124" spans="1:24" ht="12.95" customHeight="1" x14ac:dyDescent="0.2">
      <c r="A124" s="143"/>
      <c r="P124" s="344"/>
      <c r="Q124" s="342"/>
      <c r="R124" s="343"/>
      <c r="S124" s="343"/>
      <c r="T124" s="343"/>
      <c r="U124" s="343"/>
      <c r="V124" s="343"/>
      <c r="W124" s="343"/>
      <c r="X124" s="345"/>
    </row>
    <row r="125" spans="1:24" ht="12.95" customHeight="1" x14ac:dyDescent="0.2">
      <c r="A125" s="143"/>
      <c r="P125" s="297" t="s">
        <v>16</v>
      </c>
      <c r="Q125" s="342"/>
      <c r="R125" s="343"/>
      <c r="S125" s="343"/>
      <c r="T125" s="343"/>
      <c r="U125" s="343"/>
      <c r="V125" s="343"/>
      <c r="W125" s="343"/>
      <c r="X125" s="345"/>
    </row>
    <row r="126" spans="1:24" ht="12.95" customHeight="1" x14ac:dyDescent="0.2">
      <c r="A126" s="143"/>
      <c r="E126" s="298" t="s">
        <v>1427</v>
      </c>
      <c r="F126" s="299"/>
      <c r="G126" s="299"/>
      <c r="H126" s="299"/>
      <c r="I126" s="299"/>
      <c r="J126" s="299"/>
      <c r="K126" s="299"/>
      <c r="L126" s="299"/>
      <c r="M126" s="299"/>
      <c r="N126" s="300"/>
      <c r="P126" s="340"/>
      <c r="Q126" s="332"/>
      <c r="R126" s="333"/>
      <c r="S126" s="333"/>
      <c r="T126" s="333"/>
      <c r="U126" s="333"/>
      <c r="V126" s="333"/>
      <c r="W126" s="333"/>
      <c r="X126" s="333"/>
    </row>
    <row r="127" spans="1:24" ht="12.95" customHeight="1" x14ac:dyDescent="0.2">
      <c r="A127" s="143"/>
      <c r="E127" s="124" t="s">
        <v>632</v>
      </c>
      <c r="F127" s="125" t="s">
        <v>633</v>
      </c>
      <c r="G127" s="126" t="s">
        <v>155</v>
      </c>
      <c r="H127" s="125" t="s">
        <v>634</v>
      </c>
      <c r="I127" s="126" t="s">
        <v>635</v>
      </c>
      <c r="J127" s="125" t="s">
        <v>636</v>
      </c>
      <c r="K127" s="126" t="s">
        <v>637</v>
      </c>
      <c r="L127" s="125" t="s">
        <v>156</v>
      </c>
      <c r="M127" s="127" t="s">
        <v>638</v>
      </c>
      <c r="N127" s="127" t="s">
        <v>639</v>
      </c>
      <c r="P127" s="162"/>
      <c r="Q127" s="301"/>
      <c r="R127" s="805" t="s">
        <v>689</v>
      </c>
      <c r="S127" s="806"/>
      <c r="T127" s="806"/>
      <c r="U127" s="806"/>
      <c r="V127" s="806"/>
      <c r="W127" s="806"/>
      <c r="X127" s="807"/>
    </row>
    <row r="128" spans="1:24" x14ac:dyDescent="0.2">
      <c r="A128" s="143"/>
      <c r="B128" s="134" t="s">
        <v>1436</v>
      </c>
      <c r="C128" s="135"/>
      <c r="D128" s="304"/>
      <c r="E128" s="305"/>
      <c r="F128" s="305"/>
      <c r="G128" s="305"/>
      <c r="H128" s="306"/>
      <c r="I128" s="305"/>
      <c r="J128" s="305"/>
      <c r="K128" s="306"/>
      <c r="L128" s="305"/>
      <c r="M128" s="307"/>
      <c r="N128" s="305"/>
      <c r="P128" s="302" t="s">
        <v>1424</v>
      </c>
      <c r="Q128" s="303"/>
      <c r="R128" s="810" t="s">
        <v>89</v>
      </c>
      <c r="S128" s="798" t="s">
        <v>90</v>
      </c>
      <c r="T128" s="798" t="s">
        <v>22</v>
      </c>
      <c r="U128" s="798" t="s">
        <v>21</v>
      </c>
      <c r="V128" s="798" t="s">
        <v>23</v>
      </c>
      <c r="W128" s="800" t="s">
        <v>24</v>
      </c>
      <c r="X128" s="808" t="s">
        <v>1439</v>
      </c>
    </row>
    <row r="129" spans="1:24" ht="12.95" customHeight="1" x14ac:dyDescent="0.2">
      <c r="A129" s="143" t="s">
        <v>2377</v>
      </c>
      <c r="B129" s="114" t="s">
        <v>1466</v>
      </c>
      <c r="C129" s="110" t="s">
        <v>1430</v>
      </c>
      <c r="D129" s="119" t="s">
        <v>48</v>
      </c>
      <c r="E129" s="80"/>
      <c r="F129" s="80"/>
      <c r="G129" s="80"/>
      <c r="H129" s="83"/>
      <c r="I129" s="80"/>
      <c r="J129" s="80"/>
      <c r="K129" s="80"/>
      <c r="L129" s="80"/>
      <c r="M129" s="84"/>
      <c r="N129" s="80"/>
      <c r="P129" s="308"/>
      <c r="Q129" s="309"/>
      <c r="R129" s="811"/>
      <c r="S129" s="799"/>
      <c r="T129" s="799"/>
      <c r="U129" s="799"/>
      <c r="V129" s="799"/>
      <c r="W129" s="801"/>
      <c r="X129" s="809"/>
    </row>
    <row r="130" spans="1:24" ht="12.95" customHeight="1" x14ac:dyDescent="0.2">
      <c r="A130" s="143" t="s">
        <v>2378</v>
      </c>
      <c r="B130" s="114" t="s">
        <v>1482</v>
      </c>
      <c r="C130" s="110" t="s">
        <v>1431</v>
      </c>
      <c r="D130" s="119" t="s">
        <v>48</v>
      </c>
      <c r="E130" s="80"/>
      <c r="F130" s="80"/>
      <c r="G130" s="80"/>
      <c r="H130" s="83"/>
      <c r="I130" s="80"/>
      <c r="J130" s="80"/>
      <c r="K130" s="80"/>
      <c r="L130" s="80"/>
      <c r="M130" s="84"/>
      <c r="N130" s="80"/>
      <c r="P130" s="802" t="s">
        <v>695</v>
      </c>
      <c r="Q130" s="128" t="s">
        <v>89</v>
      </c>
      <c r="R130" s="313">
        <f>+IF(AND(E129=0,E136=0),0,"error")</f>
        <v>0</v>
      </c>
      <c r="S130" s="314">
        <f>+IF(ROUND(F129,1)=ROUND(E137,1),ROUND(F129,1),"error")</f>
        <v>0</v>
      </c>
      <c r="T130" s="314">
        <f>+IF(ROUND(H129,1)=ROUND(E138,1),ROUND(H129,1),"error")</f>
        <v>0</v>
      </c>
      <c r="U130" s="314">
        <f>+IF(ROUND(I129,1)=ROUND(E139,1),ROUND(I129,1),"error")</f>
        <v>0</v>
      </c>
      <c r="V130" s="314">
        <f>+IF(ROUND(J129,1)=ROUND(E140,1),ROUND(J129,1),"error")</f>
        <v>0</v>
      </c>
      <c r="W130" s="315">
        <f>+IF(ROUND(K129,1)=ROUND(E141,1),ROUND(K129,1),"error")</f>
        <v>0</v>
      </c>
      <c r="X130" s="316">
        <f>+IF(OR(R130="error",S130="error",U130="error",V130="error",W130="error"),"error",SUM(R130:S130,U130:W130))</f>
        <v>0</v>
      </c>
    </row>
    <row r="131" spans="1:24" ht="12.95" customHeight="1" x14ac:dyDescent="0.2">
      <c r="A131" s="143" t="s">
        <v>2379</v>
      </c>
      <c r="B131" s="114" t="s">
        <v>1498</v>
      </c>
      <c r="C131" s="110" t="s">
        <v>1432</v>
      </c>
      <c r="D131" s="119" t="s">
        <v>48</v>
      </c>
      <c r="E131" s="80"/>
      <c r="F131" s="80"/>
      <c r="G131" s="80"/>
      <c r="H131" s="83"/>
      <c r="I131" s="80"/>
      <c r="J131" s="80"/>
      <c r="K131" s="80"/>
      <c r="L131" s="80"/>
      <c r="M131" s="84"/>
      <c r="N131" s="80"/>
      <c r="P131" s="803"/>
      <c r="Q131" s="129" t="s">
        <v>90</v>
      </c>
      <c r="R131" s="317">
        <f>+IF(ROUND(E130,1)=ROUND(F136,1),ROUND(E130,1),"error")</f>
        <v>0</v>
      </c>
      <c r="S131" s="318">
        <f>+IF(AND(F130=0,F137=0),0,"error")</f>
        <v>0</v>
      </c>
      <c r="T131" s="319">
        <f>+IF(ROUND(H130,1)=ROUND(F138,1),ROUND(H130,1),"error")</f>
        <v>0</v>
      </c>
      <c r="U131" s="319">
        <f>+IF(ROUND(I130,1)=ROUND(F139,1),ROUND(I130,1),"error")</f>
        <v>0</v>
      </c>
      <c r="V131" s="319">
        <f>+IF(ROUND(J130,1)=ROUND(F140,1),ROUND(J130,1),"error")</f>
        <v>0</v>
      </c>
      <c r="W131" s="320">
        <f>+IF(ROUND(K130,1)=ROUND(F141,1),ROUND(K130,1),"error")</f>
        <v>0</v>
      </c>
      <c r="X131" s="321">
        <f>+IF(OR(R131="error",S131="error",U131="error",V131="error",W131="error"),"error",SUM(R131:S131,U131:W131))</f>
        <v>0</v>
      </c>
    </row>
    <row r="132" spans="1:24" ht="12.95" customHeight="1" x14ac:dyDescent="0.2">
      <c r="A132" s="143" t="s">
        <v>2380</v>
      </c>
      <c r="B132" s="114" t="s">
        <v>1514</v>
      </c>
      <c r="C132" s="110" t="s">
        <v>1433</v>
      </c>
      <c r="D132" s="119" t="s">
        <v>48</v>
      </c>
      <c r="E132" s="80"/>
      <c r="F132" s="80"/>
      <c r="G132" s="80"/>
      <c r="H132" s="83"/>
      <c r="I132" s="80"/>
      <c r="J132" s="80"/>
      <c r="K132" s="80"/>
      <c r="L132" s="80"/>
      <c r="M132" s="84"/>
      <c r="N132" s="80"/>
      <c r="P132" s="803"/>
      <c r="Q132" s="129" t="s">
        <v>22</v>
      </c>
      <c r="R132" s="317">
        <f>+IF(ROUND(E131,1)=ROUND(H136,1),ROUND(E131,1),"error")</f>
        <v>0</v>
      </c>
      <c r="S132" s="319">
        <f>+IF(ROUND(F131,1)=ROUND(H137,1),ROUND(F131,1),"error")</f>
        <v>0</v>
      </c>
      <c r="T132" s="318">
        <f>+IF(AND(H131=0,H138=0),0,"error")</f>
        <v>0</v>
      </c>
      <c r="U132" s="319">
        <f>+IF(ROUND(I131,1)=ROUND(H139,1),ROUND(I131,1),"error")</f>
        <v>0</v>
      </c>
      <c r="V132" s="319">
        <f>+IF(ROUND(J131,1)=ROUND(H140,1),ROUND(J131,1),"error")</f>
        <v>0</v>
      </c>
      <c r="W132" s="320">
        <f>+IF(ROUND(K131,1)=ROUND(H141,1),ROUND(K131,1),"error")</f>
        <v>0</v>
      </c>
      <c r="X132" s="321">
        <f>+IF(OR(T132="error",U132="error",V132="error",W132="error"),"error",SUM(T132:W132))</f>
        <v>0</v>
      </c>
    </row>
    <row r="133" spans="1:24" ht="12.95" customHeight="1" x14ac:dyDescent="0.2">
      <c r="A133" s="143" t="s">
        <v>2381</v>
      </c>
      <c r="B133" s="114" t="s">
        <v>1530</v>
      </c>
      <c r="C133" s="110" t="s">
        <v>1434</v>
      </c>
      <c r="D133" s="119" t="s">
        <v>48</v>
      </c>
      <c r="E133" s="80"/>
      <c r="F133" s="80"/>
      <c r="G133" s="80"/>
      <c r="H133" s="83"/>
      <c r="I133" s="80"/>
      <c r="J133" s="80"/>
      <c r="K133" s="80"/>
      <c r="L133" s="80"/>
      <c r="M133" s="84"/>
      <c r="N133" s="80"/>
      <c r="P133" s="803"/>
      <c r="Q133" s="130" t="s">
        <v>21</v>
      </c>
      <c r="R133" s="322">
        <f>+IF(ROUND(E132,1)=ROUND(I136,1),ROUND(E132,1),"error")</f>
        <v>0</v>
      </c>
      <c r="S133" s="323">
        <f>+IF(ROUND(F132,1)=ROUND(I137,1),ROUND(F132,1),"error")</f>
        <v>0</v>
      </c>
      <c r="T133" s="323">
        <f>+IF(ROUND(H132,1)=ROUND(I138,1),ROUND(H132,1),"error")</f>
        <v>0</v>
      </c>
      <c r="U133" s="324">
        <f>+IF(AND(I132=0,I139=0),0,"error")</f>
        <v>0</v>
      </c>
      <c r="V133" s="323">
        <f>+IF(ROUND(J132,1)=ROUND(I140,1),ROUND(J132,1),"error")</f>
        <v>0</v>
      </c>
      <c r="W133" s="325">
        <f>+IF(ROUND(K132,1)=ROUND(I141,1),ROUND(K132,1),"error")</f>
        <v>0</v>
      </c>
      <c r="X133" s="321">
        <f>+IF(OR(R133="error",S133="error",U133="error",V133="error",W133="error"),"error",SUM(R133:S133,U133:W133))</f>
        <v>0</v>
      </c>
    </row>
    <row r="134" spans="1:24" ht="12.95" customHeight="1" x14ac:dyDescent="0.2">
      <c r="A134" s="143" t="s">
        <v>2382</v>
      </c>
      <c r="B134" s="114" t="s">
        <v>1546</v>
      </c>
      <c r="C134" s="110" t="s">
        <v>1435</v>
      </c>
      <c r="D134" s="119" t="s">
        <v>48</v>
      </c>
      <c r="E134" s="80"/>
      <c r="F134" s="80"/>
      <c r="G134" s="80"/>
      <c r="H134" s="83"/>
      <c r="I134" s="80"/>
      <c r="J134" s="80"/>
      <c r="K134" s="80"/>
      <c r="L134" s="80"/>
      <c r="M134" s="84"/>
      <c r="N134" s="80"/>
      <c r="P134" s="803"/>
      <c r="Q134" s="129" t="s">
        <v>23</v>
      </c>
      <c r="R134" s="322">
        <f>+IF(ROUND(E133,1)=ROUND(J136,1),ROUND(E133,1),"error")</f>
        <v>0</v>
      </c>
      <c r="S134" s="323">
        <f>+IF(ROUND(F133,1)=ROUND(J137,1),ROUND(F133,1),"error")</f>
        <v>0</v>
      </c>
      <c r="T134" s="323">
        <f>+IF(ROUND(H133,1)=ROUND(J138,1),ROUND(H133,1),"error")</f>
        <v>0</v>
      </c>
      <c r="U134" s="326">
        <f>+IF(ROUND(I133,1)=ROUND(J139,1),ROUND(I133,1),"error")</f>
        <v>0</v>
      </c>
      <c r="V134" s="324">
        <f>+IF(AND(J133=0,J140=0),0,"error")</f>
        <v>0</v>
      </c>
      <c r="W134" s="325">
        <f>+IF(ROUND(K133,1)=ROUND(J141,1),ROUND(K133,1),"error")</f>
        <v>0</v>
      </c>
      <c r="X134" s="321">
        <f>+IF(OR(R134="error",S134="error",U134="error",V134="error",W134="error"),"error",SUM(R134:S134,U134:W134))</f>
        <v>0</v>
      </c>
    </row>
    <row r="135" spans="1:24" ht="12.95" customHeight="1" x14ac:dyDescent="0.2">
      <c r="A135" s="143"/>
      <c r="B135" s="117" t="s">
        <v>1429</v>
      </c>
      <c r="C135" s="133"/>
      <c r="D135" s="328"/>
      <c r="E135" s="310"/>
      <c r="F135" s="310"/>
      <c r="G135" s="310"/>
      <c r="H135" s="311"/>
      <c r="I135" s="310"/>
      <c r="J135" s="310"/>
      <c r="K135" s="311"/>
      <c r="L135" s="310"/>
      <c r="M135" s="312"/>
      <c r="N135" s="310"/>
      <c r="P135" s="803"/>
      <c r="Q135" s="131" t="s">
        <v>24</v>
      </c>
      <c r="R135" s="322">
        <f>+IF(ROUND(E134,1)=ROUND(K136,1),ROUND(E134,1),"error")</f>
        <v>0</v>
      </c>
      <c r="S135" s="323">
        <f>+IF(ROUND(F134,1)=ROUND(K137,1),ROUND(F134,1),"error")</f>
        <v>0</v>
      </c>
      <c r="T135" s="323">
        <f>+IF(ROUND(H134,1)=ROUND(K138,1),ROUND(H134,1),"error")</f>
        <v>0</v>
      </c>
      <c r="U135" s="326">
        <f>+IF(ROUND(I134,1)=ROUND(K139,1),ROUND(I134,1),"error")</f>
        <v>0</v>
      </c>
      <c r="V135" s="326">
        <f>+IF(ROUND(J134,1)=ROUND(K140,1),ROUND(J134,1),"error")</f>
        <v>0</v>
      </c>
      <c r="W135" s="327">
        <f>+IF(AND(K134=0,K141=0),0,"error")</f>
        <v>0</v>
      </c>
      <c r="X135" s="321">
        <f>+IF(OR(R135="error",S135="error",U135="error",V135="error",W135="error"),"error",SUM(R135:S135,U135:W135))</f>
        <v>0</v>
      </c>
    </row>
    <row r="136" spans="1:24" ht="12.95" customHeight="1" x14ac:dyDescent="0.2">
      <c r="A136" s="143" t="s">
        <v>2383</v>
      </c>
      <c r="B136" s="114" t="s">
        <v>1467</v>
      </c>
      <c r="C136" s="110" t="s">
        <v>1430</v>
      </c>
      <c r="D136" s="119" t="s">
        <v>48</v>
      </c>
      <c r="E136" s="80"/>
      <c r="F136" s="80"/>
      <c r="G136" s="80"/>
      <c r="H136" s="83"/>
      <c r="I136" s="80"/>
      <c r="J136" s="80"/>
      <c r="K136" s="83"/>
      <c r="L136" s="80"/>
      <c r="M136" s="84"/>
      <c r="N136" s="80"/>
      <c r="P136" s="804"/>
      <c r="Q136" s="132" t="s">
        <v>30</v>
      </c>
      <c r="R136" s="329">
        <f>+IF(OR(R130="error",R131="error",R133="error",R134="error",R135="error"),"error",SUM(R130:R131,R133:R135))</f>
        <v>0</v>
      </c>
      <c r="S136" s="329">
        <f>+IF(OR(S130="error",S131="error",S133="error",S134="error",S135="error"),"error",SUM(S130:S131,S133:S135))</f>
        <v>0</v>
      </c>
      <c r="T136" s="330">
        <f>+IF(OR(T132="error",T133="error",T134="error",T135="error"),"error",SUM(T132:T135))</f>
        <v>0</v>
      </c>
      <c r="U136" s="330">
        <f>+IF(OR(U130="error",U131="error",U133="error",U134="error",U135="error"),"error",SUM(U130:U131,U133:U135))</f>
        <v>0</v>
      </c>
      <c r="V136" s="330">
        <f>+IF(OR(V130="error",V131="error",V133="error",V134="error",V135="error"),"error",SUM(V130:V131,V133:V135))</f>
        <v>0</v>
      </c>
      <c r="W136" s="330">
        <f>+IF(OR(W130="error",W131="error",W133="error",W134="error",W135="error"),"error",SUM(W130:W131,W133:W135))</f>
        <v>0</v>
      </c>
      <c r="X136" s="331"/>
    </row>
    <row r="137" spans="1:24" ht="12.95" customHeight="1" x14ac:dyDescent="0.2">
      <c r="A137" s="143" t="s">
        <v>2384</v>
      </c>
      <c r="B137" s="114" t="s">
        <v>1483</v>
      </c>
      <c r="C137" s="110" t="s">
        <v>1431</v>
      </c>
      <c r="D137" s="119" t="s">
        <v>48</v>
      </c>
      <c r="E137" s="80"/>
      <c r="F137" s="80"/>
      <c r="G137" s="80"/>
      <c r="H137" s="83"/>
      <c r="I137" s="80"/>
      <c r="J137" s="80"/>
      <c r="K137" s="83"/>
      <c r="L137" s="80"/>
      <c r="M137" s="84"/>
      <c r="N137" s="80"/>
      <c r="P137" s="344"/>
      <c r="Q137" s="342"/>
      <c r="R137" s="343"/>
      <c r="S137" s="343"/>
      <c r="T137" s="343"/>
      <c r="U137" s="343"/>
      <c r="V137" s="343"/>
      <c r="W137" s="343"/>
      <c r="X137" s="334"/>
    </row>
    <row r="138" spans="1:24" ht="12.95" customHeight="1" x14ac:dyDescent="0.2">
      <c r="A138" s="143" t="s">
        <v>2385</v>
      </c>
      <c r="B138" s="114" t="s">
        <v>1499</v>
      </c>
      <c r="C138" s="110" t="s">
        <v>1432</v>
      </c>
      <c r="D138" s="119" t="s">
        <v>48</v>
      </c>
      <c r="E138" s="80"/>
      <c r="F138" s="80"/>
      <c r="G138" s="80"/>
      <c r="H138" s="83"/>
      <c r="I138" s="80"/>
      <c r="J138" s="80"/>
      <c r="K138" s="83"/>
      <c r="L138" s="80"/>
      <c r="M138" s="84"/>
      <c r="N138" s="80"/>
      <c r="P138" s="340"/>
      <c r="Q138" s="332"/>
      <c r="R138" s="333"/>
      <c r="S138" s="333"/>
      <c r="T138" s="333"/>
      <c r="U138" s="333"/>
      <c r="V138" s="333"/>
      <c r="W138" s="333"/>
      <c r="X138" s="333"/>
    </row>
    <row r="139" spans="1:24" ht="12.95" customHeight="1" x14ac:dyDescent="0.2">
      <c r="A139" s="143" t="s">
        <v>2386</v>
      </c>
      <c r="B139" s="114" t="s">
        <v>1515</v>
      </c>
      <c r="C139" s="110" t="s">
        <v>1433</v>
      </c>
      <c r="D139" s="119" t="s">
        <v>48</v>
      </c>
      <c r="E139" s="80"/>
      <c r="F139" s="80"/>
      <c r="G139" s="80"/>
      <c r="H139" s="83"/>
      <c r="I139" s="80"/>
      <c r="J139" s="80"/>
      <c r="K139" s="83"/>
      <c r="L139" s="80"/>
      <c r="M139" s="84"/>
      <c r="N139" s="80"/>
      <c r="P139" s="340"/>
      <c r="Q139" s="332"/>
      <c r="R139" s="333"/>
      <c r="S139" s="333"/>
      <c r="T139" s="333"/>
      <c r="U139" s="333"/>
      <c r="V139" s="333"/>
      <c r="W139" s="333"/>
      <c r="X139" s="333"/>
    </row>
    <row r="140" spans="1:24" ht="12.95" customHeight="1" x14ac:dyDescent="0.2">
      <c r="A140" s="143" t="s">
        <v>2387</v>
      </c>
      <c r="B140" s="114" t="s">
        <v>1531</v>
      </c>
      <c r="C140" s="110" t="s">
        <v>1434</v>
      </c>
      <c r="D140" s="119" t="s">
        <v>48</v>
      </c>
      <c r="E140" s="80"/>
      <c r="F140" s="80"/>
      <c r="G140" s="80"/>
      <c r="H140" s="83"/>
      <c r="I140" s="80"/>
      <c r="J140" s="80"/>
      <c r="K140" s="83"/>
      <c r="L140" s="80"/>
      <c r="M140" s="84"/>
      <c r="N140" s="80"/>
      <c r="P140" s="340"/>
      <c r="Q140" s="332"/>
      <c r="R140" s="333"/>
      <c r="S140" s="333"/>
      <c r="T140" s="333"/>
      <c r="U140" s="333"/>
      <c r="V140" s="333"/>
      <c r="W140" s="333"/>
      <c r="X140" s="333"/>
    </row>
    <row r="141" spans="1:24" ht="12.95" customHeight="1" x14ac:dyDescent="0.2">
      <c r="A141" s="143" t="s">
        <v>2388</v>
      </c>
      <c r="B141" s="115" t="s">
        <v>1547</v>
      </c>
      <c r="C141" s="113" t="s">
        <v>1435</v>
      </c>
      <c r="D141" s="335" t="s">
        <v>48</v>
      </c>
      <c r="E141" s="82"/>
      <c r="F141" s="82"/>
      <c r="G141" s="82"/>
      <c r="H141" s="85"/>
      <c r="I141" s="82"/>
      <c r="J141" s="82"/>
      <c r="K141" s="85"/>
      <c r="L141" s="82"/>
      <c r="M141" s="86"/>
      <c r="N141" s="82"/>
      <c r="P141" s="340"/>
      <c r="Q141" s="332"/>
      <c r="R141" s="333"/>
      <c r="S141" s="333"/>
      <c r="T141" s="333"/>
      <c r="U141" s="333"/>
      <c r="V141" s="333"/>
      <c r="W141" s="333"/>
      <c r="X141" s="333"/>
    </row>
    <row r="142" spans="1:24" ht="12.95" customHeight="1" x14ac:dyDescent="0.2">
      <c r="A142" s="143"/>
      <c r="P142" s="340"/>
      <c r="Q142" s="332"/>
      <c r="R142" s="333"/>
      <c r="S142" s="333"/>
      <c r="T142" s="333"/>
      <c r="U142" s="333"/>
      <c r="V142" s="333"/>
      <c r="W142" s="333"/>
      <c r="X142" s="333"/>
    </row>
    <row r="143" spans="1:24" ht="12.95" customHeight="1" x14ac:dyDescent="0.2">
      <c r="A143" s="143"/>
      <c r="E143" s="298" t="s">
        <v>1428</v>
      </c>
      <c r="F143" s="299"/>
      <c r="G143" s="299"/>
      <c r="H143" s="299"/>
      <c r="I143" s="299"/>
      <c r="J143" s="299"/>
      <c r="K143" s="299"/>
      <c r="L143" s="299"/>
      <c r="M143" s="299"/>
      <c r="N143" s="300"/>
      <c r="P143" s="340"/>
      <c r="Q143" s="332"/>
      <c r="R143" s="333"/>
      <c r="S143" s="333"/>
      <c r="T143" s="333"/>
      <c r="U143" s="333"/>
      <c r="V143" s="333"/>
      <c r="W143" s="333"/>
      <c r="X143" s="333"/>
    </row>
    <row r="144" spans="1:24" ht="12.95" customHeight="1" x14ac:dyDescent="0.2">
      <c r="A144" s="143"/>
      <c r="E144" s="124" t="s">
        <v>632</v>
      </c>
      <c r="F144" s="125" t="s">
        <v>633</v>
      </c>
      <c r="G144" s="126" t="s">
        <v>155</v>
      </c>
      <c r="H144" s="125" t="s">
        <v>634</v>
      </c>
      <c r="I144" s="126" t="s">
        <v>635</v>
      </c>
      <c r="J144" s="125" t="s">
        <v>636</v>
      </c>
      <c r="K144" s="126" t="s">
        <v>637</v>
      </c>
      <c r="L144" s="125" t="s">
        <v>156</v>
      </c>
      <c r="M144" s="127" t="s">
        <v>638</v>
      </c>
      <c r="N144" s="127" t="s">
        <v>639</v>
      </c>
      <c r="P144" s="162"/>
      <c r="Q144" s="301"/>
      <c r="R144" s="805" t="s">
        <v>690</v>
      </c>
      <c r="S144" s="806"/>
      <c r="T144" s="806"/>
      <c r="U144" s="806"/>
      <c r="V144" s="806"/>
      <c r="W144" s="806"/>
      <c r="X144" s="807"/>
    </row>
    <row r="145" spans="1:24" x14ac:dyDescent="0.2">
      <c r="A145" s="143"/>
      <c r="B145" s="134" t="s">
        <v>1437</v>
      </c>
      <c r="C145" s="135"/>
      <c r="D145" s="304"/>
      <c r="E145" s="305"/>
      <c r="F145" s="305"/>
      <c r="G145" s="305"/>
      <c r="H145" s="306"/>
      <c r="I145" s="305"/>
      <c r="J145" s="305"/>
      <c r="K145" s="306"/>
      <c r="L145" s="305"/>
      <c r="M145" s="307"/>
      <c r="N145" s="305"/>
      <c r="P145" s="302" t="s">
        <v>17</v>
      </c>
      <c r="Q145" s="303"/>
      <c r="R145" s="810" t="s">
        <v>89</v>
      </c>
      <c r="S145" s="798" t="s">
        <v>90</v>
      </c>
      <c r="T145" s="798" t="s">
        <v>22</v>
      </c>
      <c r="U145" s="798" t="s">
        <v>21</v>
      </c>
      <c r="V145" s="798" t="s">
        <v>23</v>
      </c>
      <c r="W145" s="800" t="s">
        <v>24</v>
      </c>
      <c r="X145" s="808" t="s">
        <v>1440</v>
      </c>
    </row>
    <row r="146" spans="1:24" ht="12.95" customHeight="1" x14ac:dyDescent="0.2">
      <c r="A146" s="143" t="s">
        <v>2389</v>
      </c>
      <c r="B146" s="114" t="s">
        <v>1468</v>
      </c>
      <c r="C146" s="110" t="s">
        <v>281</v>
      </c>
      <c r="D146" s="119" t="s">
        <v>48</v>
      </c>
      <c r="E146" s="80"/>
      <c r="F146" s="80"/>
      <c r="G146" s="80"/>
      <c r="H146" s="83"/>
      <c r="I146" s="80"/>
      <c r="J146" s="80"/>
      <c r="K146" s="80"/>
      <c r="L146" s="80"/>
      <c r="M146" s="84"/>
      <c r="N146" s="80"/>
      <c r="P146" s="308"/>
      <c r="Q146" s="309"/>
      <c r="R146" s="811"/>
      <c r="S146" s="799"/>
      <c r="T146" s="799"/>
      <c r="U146" s="799"/>
      <c r="V146" s="799"/>
      <c r="W146" s="801"/>
      <c r="X146" s="809"/>
    </row>
    <row r="147" spans="1:24" ht="12.95" customHeight="1" x14ac:dyDescent="0.2">
      <c r="A147" s="143" t="s">
        <v>2390</v>
      </c>
      <c r="B147" s="114" t="s">
        <v>1484</v>
      </c>
      <c r="C147" s="110" t="s">
        <v>295</v>
      </c>
      <c r="D147" s="119" t="s">
        <v>48</v>
      </c>
      <c r="E147" s="80"/>
      <c r="F147" s="80"/>
      <c r="G147" s="80"/>
      <c r="H147" s="83"/>
      <c r="I147" s="80"/>
      <c r="J147" s="80"/>
      <c r="K147" s="80"/>
      <c r="L147" s="80"/>
      <c r="M147" s="84"/>
      <c r="N147" s="80"/>
      <c r="P147" s="802" t="s">
        <v>696</v>
      </c>
      <c r="Q147" s="128" t="s">
        <v>89</v>
      </c>
      <c r="R147" s="313">
        <f>+IF(AND(E146=0,E153=0),0,"error")</f>
        <v>0</v>
      </c>
      <c r="S147" s="314">
        <f>+IF(ROUND(F146,1)=ROUND(E154,1),ROUND(F146,1),"error")</f>
        <v>0</v>
      </c>
      <c r="T147" s="314">
        <f>+IF(ROUND(H146,1)=ROUND(E155,1),ROUND(H146,1),"error")</f>
        <v>0</v>
      </c>
      <c r="U147" s="314">
        <f>+IF(ROUND(I146,1)=ROUND(E156,1),ROUND(I146,1),"error")</f>
        <v>0</v>
      </c>
      <c r="V147" s="314">
        <f>+IF(ROUND(J146,1)=ROUND(E157,1),ROUND(J146,1),"error")</f>
        <v>0</v>
      </c>
      <c r="W147" s="315">
        <f>+IF(ROUND(K146,1)=ROUND(E158,1),ROUND(K146,1),"error")</f>
        <v>0</v>
      </c>
      <c r="X147" s="316">
        <f>+IF(OR(R147="error",S147="error",U147="error",V147="error",W147="error"),"error",SUM(R147:S147,U147:W147))</f>
        <v>0</v>
      </c>
    </row>
    <row r="148" spans="1:24" ht="12.95" customHeight="1" x14ac:dyDescent="0.2">
      <c r="A148" s="143" t="s">
        <v>2391</v>
      </c>
      <c r="B148" s="114" t="s">
        <v>1500</v>
      </c>
      <c r="C148" s="110" t="s">
        <v>555</v>
      </c>
      <c r="D148" s="119" t="s">
        <v>48</v>
      </c>
      <c r="E148" s="80"/>
      <c r="F148" s="80"/>
      <c r="G148" s="80"/>
      <c r="H148" s="83"/>
      <c r="I148" s="80"/>
      <c r="J148" s="80"/>
      <c r="K148" s="80"/>
      <c r="L148" s="80"/>
      <c r="M148" s="84"/>
      <c r="N148" s="80"/>
      <c r="P148" s="803"/>
      <c r="Q148" s="129" t="s">
        <v>90</v>
      </c>
      <c r="R148" s="317">
        <f>+IF(ROUND(E147,1)=ROUND(F153,1),ROUND(E147,1),"error")</f>
        <v>0</v>
      </c>
      <c r="S148" s="318">
        <f>+IF(AND(F147=0,F154=0),0,"error")</f>
        <v>0</v>
      </c>
      <c r="T148" s="319">
        <f>+IF(ROUND(H147,1)=ROUND(F155,1),ROUND(H147,1),"error")</f>
        <v>0</v>
      </c>
      <c r="U148" s="319">
        <f>+IF(ROUND(I147,1)=ROUND(F156,1),ROUND(I147,1),"error")</f>
        <v>0</v>
      </c>
      <c r="V148" s="319">
        <f>+IF(ROUND(J147,1)=ROUND(F157,1),ROUND(J147,1),"error")</f>
        <v>0</v>
      </c>
      <c r="W148" s="320">
        <f>+IF(ROUND(K147,1)=ROUND(F158,1),ROUND(K147,1),"error")</f>
        <v>0</v>
      </c>
      <c r="X148" s="321">
        <f>+IF(OR(R148="error",S148="error",U148="error",V148="error",W148="error"),"error",SUM(R148:S148,U148:W148))</f>
        <v>0</v>
      </c>
    </row>
    <row r="149" spans="1:24" ht="12.95" customHeight="1" x14ac:dyDescent="0.2">
      <c r="A149" s="143" t="s">
        <v>2392</v>
      </c>
      <c r="B149" s="114" t="s">
        <v>1516</v>
      </c>
      <c r="C149" s="110" t="s">
        <v>282</v>
      </c>
      <c r="D149" s="119" t="s">
        <v>48</v>
      </c>
      <c r="E149" s="80"/>
      <c r="F149" s="80"/>
      <c r="G149" s="80"/>
      <c r="H149" s="83"/>
      <c r="I149" s="80"/>
      <c r="J149" s="80"/>
      <c r="K149" s="80"/>
      <c r="L149" s="80"/>
      <c r="M149" s="84"/>
      <c r="N149" s="80"/>
      <c r="P149" s="803"/>
      <c r="Q149" s="129" t="s">
        <v>22</v>
      </c>
      <c r="R149" s="317">
        <f>+IF(ROUND(E148,1)=ROUND(H153,1),ROUND(E148,1),"error")</f>
        <v>0</v>
      </c>
      <c r="S149" s="319">
        <f>+IF(ROUND(F148,1)=ROUND(H154,1),ROUND(F148,1),"error")</f>
        <v>0</v>
      </c>
      <c r="T149" s="318">
        <f>+IF(AND(H148=0,H155=0),0,"error")</f>
        <v>0</v>
      </c>
      <c r="U149" s="319">
        <f>+IF(ROUND(I148,1)=ROUND(H156,1),ROUND(I148,1),"error")</f>
        <v>0</v>
      </c>
      <c r="V149" s="319">
        <f>+IF(ROUND(J148,1)=ROUND(H157,1),ROUND(J148,1),"error")</f>
        <v>0</v>
      </c>
      <c r="W149" s="320">
        <f>+IF(ROUND(K148,1)=ROUND(H158,1),ROUND(K148,1),"error")</f>
        <v>0</v>
      </c>
      <c r="X149" s="321">
        <f>+IF(OR(T149="error",U149="error",V149="error",W149="error"),"error",SUM(T149:W149))</f>
        <v>0</v>
      </c>
    </row>
    <row r="150" spans="1:24" ht="12.95" customHeight="1" x14ac:dyDescent="0.2">
      <c r="A150" s="143" t="s">
        <v>2393</v>
      </c>
      <c r="B150" s="114" t="s">
        <v>1532</v>
      </c>
      <c r="C150" s="110" t="s">
        <v>283</v>
      </c>
      <c r="D150" s="119" t="s">
        <v>48</v>
      </c>
      <c r="E150" s="80"/>
      <c r="F150" s="80"/>
      <c r="G150" s="80"/>
      <c r="H150" s="83"/>
      <c r="I150" s="80"/>
      <c r="J150" s="80"/>
      <c r="K150" s="80"/>
      <c r="L150" s="80"/>
      <c r="M150" s="84"/>
      <c r="N150" s="80"/>
      <c r="P150" s="803"/>
      <c r="Q150" s="130" t="s">
        <v>21</v>
      </c>
      <c r="R150" s="322">
        <f>+IF(ROUND(E149,1)=ROUND(I153,1),ROUND(E149,1),"error")</f>
        <v>0</v>
      </c>
      <c r="S150" s="323">
        <f>+IF(ROUND(F149,1)=ROUND(I154,1),ROUND(F149,1),"error")</f>
        <v>0</v>
      </c>
      <c r="T150" s="323">
        <f>+IF(ROUND(H149,1)=ROUND(I155,1),ROUND(H149,1),"error")</f>
        <v>0</v>
      </c>
      <c r="U150" s="324">
        <f>+IF(AND(I149=0,I156=0),0,"error")</f>
        <v>0</v>
      </c>
      <c r="V150" s="323">
        <f>+IF(ROUND(J149,1)=ROUND(I157,1),ROUND(J149,1),"error")</f>
        <v>0</v>
      </c>
      <c r="W150" s="325">
        <f>+IF(ROUND(K149,1)=ROUND(I158,1),ROUND(K149,1),"error")</f>
        <v>0</v>
      </c>
      <c r="X150" s="321">
        <f>+IF(OR(R150="error",S150="error",U150="error",V150="error",W150="error"),"error",SUM(R150:S150,U150:W150))</f>
        <v>0</v>
      </c>
    </row>
    <row r="151" spans="1:24" ht="12.95" customHeight="1" x14ac:dyDescent="0.2">
      <c r="A151" s="143" t="s">
        <v>2394</v>
      </c>
      <c r="B151" s="114" t="s">
        <v>1548</v>
      </c>
      <c r="C151" s="110" t="s">
        <v>284</v>
      </c>
      <c r="D151" s="119" t="s">
        <v>48</v>
      </c>
      <c r="E151" s="80"/>
      <c r="F151" s="80"/>
      <c r="G151" s="80"/>
      <c r="H151" s="83"/>
      <c r="I151" s="80"/>
      <c r="J151" s="80"/>
      <c r="K151" s="80"/>
      <c r="L151" s="80"/>
      <c r="M151" s="84"/>
      <c r="N151" s="80"/>
      <c r="P151" s="803"/>
      <c r="Q151" s="129" t="s">
        <v>23</v>
      </c>
      <c r="R151" s="322">
        <f>+IF(ROUND(E150,1)=ROUND(J153,1),ROUND(E150,1),"error")</f>
        <v>0</v>
      </c>
      <c r="S151" s="323">
        <f>+IF(ROUND(F150,1)=ROUND(J154,1),ROUND(F150,1),"error")</f>
        <v>0</v>
      </c>
      <c r="T151" s="323">
        <f>+IF(ROUND(H150,1)=ROUND(J155,1),ROUND(H150,1),"error")</f>
        <v>0</v>
      </c>
      <c r="U151" s="326">
        <f>+IF(ROUND(I150,1)=ROUND(J156,1),ROUND(I150,1),"error")</f>
        <v>0</v>
      </c>
      <c r="V151" s="324">
        <f>+IF(AND(J150=0,J157=0),0,"error")</f>
        <v>0</v>
      </c>
      <c r="W151" s="325">
        <f>+IF(ROUND(K150,1)=ROUND(J158,1),ROUND(K150,1),"error")</f>
        <v>0</v>
      </c>
      <c r="X151" s="321">
        <f>+IF(OR(R151="error",S151="error",U151="error",V151="error",W151="error"),"error",SUM(R151:S151,U151:W151))</f>
        <v>0</v>
      </c>
    </row>
    <row r="152" spans="1:24" ht="12.95" customHeight="1" x14ac:dyDescent="0.2">
      <c r="A152" s="143"/>
      <c r="B152" s="117" t="s">
        <v>1442</v>
      </c>
      <c r="C152" s="133"/>
      <c r="D152" s="328"/>
      <c r="E152" s="310"/>
      <c r="F152" s="310"/>
      <c r="G152" s="310"/>
      <c r="H152" s="311"/>
      <c r="I152" s="310"/>
      <c r="J152" s="310"/>
      <c r="K152" s="311"/>
      <c r="L152" s="310"/>
      <c r="M152" s="312"/>
      <c r="N152" s="310"/>
      <c r="P152" s="803"/>
      <c r="Q152" s="131" t="s">
        <v>24</v>
      </c>
      <c r="R152" s="322">
        <f>+IF(ROUND(E151,1)=ROUND(K153,1),ROUND(E151,1),"error")</f>
        <v>0</v>
      </c>
      <c r="S152" s="323">
        <f>+IF(ROUND(F151,1)=ROUND(K154,1),ROUND(F151,1),"error")</f>
        <v>0</v>
      </c>
      <c r="T152" s="323">
        <f>+IF(ROUND(H151,1)=ROUND(K155,1),ROUND(H151,1),"error")</f>
        <v>0</v>
      </c>
      <c r="U152" s="326">
        <f>+IF(ROUND(I151,1)=ROUND(K156,1),ROUND(I151,1),"error")</f>
        <v>0</v>
      </c>
      <c r="V152" s="326">
        <f>+IF(ROUND(J151,1)=ROUND(K157,1),ROUND(J151,1),"error")</f>
        <v>0</v>
      </c>
      <c r="W152" s="327">
        <f>+IF(AND(K151=0,K158=0),0,"error")</f>
        <v>0</v>
      </c>
      <c r="X152" s="321">
        <f>+IF(OR(R152="error",S152="error",U152="error",V152="error",W152="error"),"error",SUM(R152:S152,U152:W152))</f>
        <v>0</v>
      </c>
    </row>
    <row r="153" spans="1:24" ht="12.95" customHeight="1" x14ac:dyDescent="0.2">
      <c r="A153" s="143" t="s">
        <v>2395</v>
      </c>
      <c r="B153" s="114" t="s">
        <v>1469</v>
      </c>
      <c r="C153" s="110" t="s">
        <v>290</v>
      </c>
      <c r="D153" s="119" t="s">
        <v>48</v>
      </c>
      <c r="E153" s="80"/>
      <c r="F153" s="80"/>
      <c r="G153" s="80"/>
      <c r="H153" s="83"/>
      <c r="I153" s="80"/>
      <c r="J153" s="80"/>
      <c r="K153" s="83"/>
      <c r="L153" s="80"/>
      <c r="M153" s="84"/>
      <c r="N153" s="80"/>
      <c r="P153" s="804"/>
      <c r="Q153" s="132" t="s">
        <v>15</v>
      </c>
      <c r="R153" s="329">
        <f>+IF(OR(R147="error",R148="error",R150="error",R151="error",R152="error"),"error",SUM(R147:R148,R150:R152))</f>
        <v>0</v>
      </c>
      <c r="S153" s="329">
        <f>+IF(OR(S147="error",S148="error",S150="error",S151="error",S152="error"),"error",SUM(S147:S148,S150:S152))</f>
        <v>0</v>
      </c>
      <c r="T153" s="330">
        <f>+IF(OR(T149="error",T150="error",T151="error",T152="error"),"error",SUM(T149:T152))</f>
        <v>0</v>
      </c>
      <c r="U153" s="330">
        <f>+IF(OR(U147="error",U148="error",U150="error",U151="error",U152="error"),"error",SUM(U147:U148,U150:U152))</f>
        <v>0</v>
      </c>
      <c r="V153" s="330">
        <f>+IF(OR(V147="error",V148="error",V150="error",V151="error",V152="error"),"error",SUM(V147:V148,V150:V152))</f>
        <v>0</v>
      </c>
      <c r="W153" s="330">
        <f>+IF(OR(W147="error",W148="error",W150="error",W151="error",W152="error"),"error",SUM(W147:W148,W150:W152))</f>
        <v>0</v>
      </c>
      <c r="X153" s="331"/>
    </row>
    <row r="154" spans="1:24" x14ac:dyDescent="0.2">
      <c r="A154" s="143" t="s">
        <v>2396</v>
      </c>
      <c r="B154" s="114" t="s">
        <v>1485</v>
      </c>
      <c r="C154" s="110" t="s">
        <v>294</v>
      </c>
      <c r="D154" s="119" t="s">
        <v>48</v>
      </c>
      <c r="E154" s="80"/>
      <c r="F154" s="80"/>
      <c r="G154" s="80"/>
      <c r="H154" s="83"/>
      <c r="I154" s="80"/>
      <c r="J154" s="80"/>
      <c r="K154" s="83"/>
      <c r="L154" s="80"/>
      <c r="M154" s="84"/>
      <c r="N154" s="80"/>
      <c r="P154" s="344"/>
      <c r="Q154" s="342"/>
      <c r="R154" s="343"/>
      <c r="S154" s="343"/>
      <c r="T154" s="343"/>
      <c r="U154" s="343"/>
      <c r="V154" s="343"/>
      <c r="W154" s="343"/>
      <c r="X154" s="334"/>
    </row>
    <row r="155" spans="1:24" x14ac:dyDescent="0.2">
      <c r="A155" s="143" t="s">
        <v>2397</v>
      </c>
      <c r="B155" s="114" t="s">
        <v>1501</v>
      </c>
      <c r="C155" s="110" t="s">
        <v>559</v>
      </c>
      <c r="D155" s="119" t="s">
        <v>48</v>
      </c>
      <c r="E155" s="80"/>
      <c r="F155" s="80"/>
      <c r="G155" s="80"/>
      <c r="H155" s="83"/>
      <c r="I155" s="80"/>
      <c r="J155" s="80"/>
      <c r="K155" s="83"/>
      <c r="L155" s="80"/>
      <c r="M155" s="84"/>
      <c r="N155" s="80"/>
      <c r="P155" s="346"/>
      <c r="Q155" s="346"/>
      <c r="R155" s="346"/>
      <c r="S155" s="346"/>
      <c r="T155" s="346"/>
      <c r="U155" s="346"/>
      <c r="V155" s="346"/>
      <c r="W155" s="346"/>
      <c r="X155" s="346"/>
    </row>
    <row r="156" spans="1:24" x14ac:dyDescent="0.2">
      <c r="A156" s="143" t="s">
        <v>2398</v>
      </c>
      <c r="B156" s="114" t="s">
        <v>1517</v>
      </c>
      <c r="C156" s="110" t="s">
        <v>291</v>
      </c>
      <c r="D156" s="119" t="s">
        <v>48</v>
      </c>
      <c r="E156" s="80"/>
      <c r="F156" s="80"/>
      <c r="G156" s="80"/>
      <c r="H156" s="83"/>
      <c r="I156" s="80"/>
      <c r="J156" s="80"/>
      <c r="K156" s="83"/>
      <c r="L156" s="80"/>
      <c r="M156" s="84"/>
      <c r="N156" s="80"/>
    </row>
    <row r="157" spans="1:24" x14ac:dyDescent="0.2">
      <c r="A157" s="143" t="s">
        <v>2399</v>
      </c>
      <c r="B157" s="114" t="s">
        <v>1533</v>
      </c>
      <c r="C157" s="110" t="s">
        <v>292</v>
      </c>
      <c r="D157" s="119" t="s">
        <v>48</v>
      </c>
      <c r="E157" s="80"/>
      <c r="F157" s="80"/>
      <c r="G157" s="80"/>
      <c r="H157" s="83"/>
      <c r="I157" s="80"/>
      <c r="J157" s="80"/>
      <c r="K157" s="83"/>
      <c r="L157" s="80"/>
      <c r="M157" s="84"/>
      <c r="N157" s="80"/>
    </row>
    <row r="158" spans="1:24" x14ac:dyDescent="0.2">
      <c r="A158" s="143" t="s">
        <v>2400</v>
      </c>
      <c r="B158" s="115" t="s">
        <v>1549</v>
      </c>
      <c r="C158" s="113" t="s">
        <v>293</v>
      </c>
      <c r="D158" s="335" t="s">
        <v>48</v>
      </c>
      <c r="E158" s="82"/>
      <c r="F158" s="82"/>
      <c r="G158" s="82"/>
      <c r="H158" s="85"/>
      <c r="I158" s="82"/>
      <c r="J158" s="82"/>
      <c r="K158" s="85"/>
      <c r="L158" s="82"/>
      <c r="M158" s="86"/>
      <c r="N158" s="82"/>
    </row>
  </sheetData>
  <sheetProtection password="EECE" sheet="1" objects="1" scenarios="1" formatCells="0" formatColumns="0" formatRows="0"/>
  <customSheetViews>
    <customSheetView guid="{C3088B2E-F853-4D7E-B687-C6500891DFCB}" showPageBreaks="1" fitToPage="1" printArea="1" topLeftCell="A10">
      <selection activeCell="A26" sqref="A26:A31"/>
      <rowBreaks count="1" manualBreakCount="1">
        <brk id="84" max="16383" man="1"/>
      </rowBreaks>
      <pageMargins left="0.47244094488188998" right="0.47244094488188998" top="0.59055118110236204" bottom="0.59055118110236204" header="0.39370078740157499" footer="0.39370078740157499"/>
      <pageSetup fitToHeight="0" orientation="landscape" r:id="rId1"/>
      <headerFooter alignWithMargins="0">
        <oddFooter>&amp;L&amp;8&amp;D  &amp;T&amp;R&amp;8March 2014, Version 0.2</oddFooter>
      </headerFooter>
    </customSheetView>
    <customSheetView guid="{F866C9B2-56BF-4FE4-B270-CC8FE15A5892}" showPageBreaks="1" fitToPage="1" printArea="1">
      <selection activeCell="A26" sqref="A26:A31"/>
      <rowBreaks count="1" manualBreakCount="1">
        <brk id="84" max="16383" man="1"/>
      </rowBreaks>
      <pageMargins left="0.47244094488188998" right="0.47244094488188998" top="0.59055118110236204" bottom="0.59055118110236204" header="0.39370078740157499" footer="0.39370078740157499"/>
      <pageSetup fitToHeight="0" orientation="landscape" r:id="rId2"/>
      <headerFooter alignWithMargins="0">
        <oddFooter>&amp;L&amp;8&amp;D  &amp;T&amp;R&amp;8March 2014, Version 0.2</oddFooter>
      </headerFooter>
    </customSheetView>
    <customSheetView guid="{D66484CB-9D53-43A1-A83D-11534BC40BF6}" showPageBreaks="1" fitToPage="1" printArea="1">
      <selection activeCell="G20" sqref="G20"/>
      <rowBreaks count="1" manualBreakCount="1">
        <brk id="84" max="16383" man="1"/>
      </rowBreaks>
      <pageMargins left="0.47244094488188998" right="0.47244094488188998" top="0.59055118110236204" bottom="0.59055118110236204" header="0.39370078740157499" footer="0.39370078740157499"/>
      <pageSetup fitToHeight="0" orientation="landscape" r:id="rId3"/>
      <headerFooter alignWithMargins="0">
        <oddFooter>&amp;L&amp;8&amp;D  &amp;T&amp;R&amp;8March 2014, Version 0.2</oddFooter>
      </headerFooter>
    </customSheetView>
  </customSheetViews>
  <mergeCells count="84">
    <mergeCell ref="P147:P153"/>
    <mergeCell ref="R127:X127"/>
    <mergeCell ref="P130:P136"/>
    <mergeCell ref="R144:X144"/>
    <mergeCell ref="R145:R146"/>
    <mergeCell ref="S145:S146"/>
    <mergeCell ref="T145:T146"/>
    <mergeCell ref="U145:U146"/>
    <mergeCell ref="X128:X129"/>
    <mergeCell ref="X145:X146"/>
    <mergeCell ref="V145:V146"/>
    <mergeCell ref="W145:W146"/>
    <mergeCell ref="R128:R129"/>
    <mergeCell ref="S128:S129"/>
    <mergeCell ref="T128:T129"/>
    <mergeCell ref="U128:U129"/>
    <mergeCell ref="P112:P118"/>
    <mergeCell ref="R75:X75"/>
    <mergeCell ref="P78:P84"/>
    <mergeCell ref="R92:X92"/>
    <mergeCell ref="R76:R77"/>
    <mergeCell ref="S76:S77"/>
    <mergeCell ref="T76:T77"/>
    <mergeCell ref="U76:U77"/>
    <mergeCell ref="X93:X94"/>
    <mergeCell ref="R110:R111"/>
    <mergeCell ref="X110:X111"/>
    <mergeCell ref="V93:V94"/>
    <mergeCell ref="W93:W94"/>
    <mergeCell ref="S110:S111"/>
    <mergeCell ref="T110:T111"/>
    <mergeCell ref="U110:U111"/>
    <mergeCell ref="V128:V129"/>
    <mergeCell ref="W128:W129"/>
    <mergeCell ref="P44:P50"/>
    <mergeCell ref="R109:X109"/>
    <mergeCell ref="P95:P101"/>
    <mergeCell ref="R58:X58"/>
    <mergeCell ref="P61:P67"/>
    <mergeCell ref="X59:X60"/>
    <mergeCell ref="R59:R60"/>
    <mergeCell ref="T59:T60"/>
    <mergeCell ref="U59:U60"/>
    <mergeCell ref="X76:X77"/>
    <mergeCell ref="R93:R94"/>
    <mergeCell ref="S93:S94"/>
    <mergeCell ref="T93:T94"/>
    <mergeCell ref="U93:U94"/>
    <mergeCell ref="I1:M1"/>
    <mergeCell ref="L2:N2"/>
    <mergeCell ref="R7:X7"/>
    <mergeCell ref="I3:N3"/>
    <mergeCell ref="R25:R26"/>
    <mergeCell ref="S25:S26"/>
    <mergeCell ref="T25:T26"/>
    <mergeCell ref="R8:R9"/>
    <mergeCell ref="S8:S9"/>
    <mergeCell ref="T8:T9"/>
    <mergeCell ref="U8:U9"/>
    <mergeCell ref="V8:V9"/>
    <mergeCell ref="W8:W9"/>
    <mergeCell ref="X8:X9"/>
    <mergeCell ref="T42:T43"/>
    <mergeCell ref="U42:U43"/>
    <mergeCell ref="P10:P16"/>
    <mergeCell ref="R24:X24"/>
    <mergeCell ref="P27:P33"/>
    <mergeCell ref="R41:X41"/>
    <mergeCell ref="X42:X43"/>
    <mergeCell ref="R42:R43"/>
    <mergeCell ref="S42:S43"/>
    <mergeCell ref="V42:V43"/>
    <mergeCell ref="W42:W43"/>
    <mergeCell ref="U25:U26"/>
    <mergeCell ref="V25:V26"/>
    <mergeCell ref="W25:W26"/>
    <mergeCell ref="X25:X26"/>
    <mergeCell ref="V110:V111"/>
    <mergeCell ref="W110:W111"/>
    <mergeCell ref="S59:S60"/>
    <mergeCell ref="V76:V77"/>
    <mergeCell ref="W76:W77"/>
    <mergeCell ref="V59:V60"/>
    <mergeCell ref="W59:W60"/>
  </mergeCells>
  <conditionalFormatting sqref="R78:W84 X78:X83 R27:W33 R27:X32 R10:W16 X10:X15 R44:W50 X44:X49 R61:W67 X61:X66 R95:W101 X95:X100 R112:W118 X112:X117 R130:W136 X130:X135 R147:W153 X147:X152">
    <cfRule type="containsText" dxfId="4" priority="10" stopIfTrue="1" operator="containsText" text="error">
      <formula>NOT(ISERROR(SEARCH("error",R10)))</formula>
    </cfRule>
  </conditionalFormatting>
  <pageMargins left="0.47244094488188998" right="0.47244094488188998" top="0.59055118110236204" bottom="0.59055118110236204" header="0.39370078740157499" footer="0.39370078740157499"/>
  <pageSetup fitToHeight="0" orientation="landscape" r:id="rId4"/>
  <headerFooter alignWithMargins="0">
    <oddFooter>&amp;L&amp;8&amp;D  &amp;T&amp;R&amp;8March 2014, Version 0.2</oddFooter>
  </headerFooter>
  <rowBreaks count="1" manualBreakCount="1">
    <brk id="84" max="16383" man="1"/>
  </rowBreaks>
  <legacyDrawing r:id="rId5"/>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indexed="13"/>
    <pageSetUpPr fitToPage="1"/>
  </sheetPr>
  <dimension ref="A1:AJ207"/>
  <sheetViews>
    <sheetView topLeftCell="A8" zoomScale="90" zoomScaleNormal="90" workbookViewId="0">
      <selection activeCell="I20" sqref="I20"/>
    </sheetView>
  </sheetViews>
  <sheetFormatPr baseColWidth="10" defaultColWidth="9.140625" defaultRowHeight="14.25" x14ac:dyDescent="0.25"/>
  <cols>
    <col min="1" max="1" width="1.42578125" style="1" customWidth="1"/>
    <col min="2" max="2" width="3.42578125" style="1" customWidth="1"/>
    <col min="3" max="3" width="7.7109375" style="1" hidden="1" customWidth="1"/>
    <col min="4" max="4" width="5.7109375" style="1" customWidth="1"/>
    <col min="5" max="5" width="6.5703125" style="1" customWidth="1"/>
    <col min="6" max="6" width="8.28515625" style="1" customWidth="1"/>
    <col min="7" max="7" width="27.5703125" style="1" customWidth="1"/>
    <col min="8" max="8" width="11.5703125" style="1" customWidth="1"/>
    <col min="9" max="9" width="18.42578125" style="1" customWidth="1"/>
    <col min="10" max="10" width="14.28515625" style="1" customWidth="1"/>
    <col min="11" max="12" width="10.7109375" style="1" customWidth="1"/>
    <col min="13" max="13" width="11.42578125" style="1" customWidth="1"/>
    <col min="14" max="14" width="11.7109375" style="1" customWidth="1"/>
    <col min="15" max="15" width="10.7109375" style="1" customWidth="1"/>
    <col min="16" max="16" width="11.85546875" style="1" customWidth="1"/>
    <col min="17" max="18" width="3.5703125" style="1" customWidth="1"/>
    <col min="19" max="19" width="4.28515625" style="1" customWidth="1"/>
    <col min="20" max="20" width="4.5703125" style="1" customWidth="1"/>
    <col min="21" max="21" width="5" style="1" hidden="1" customWidth="1"/>
    <col min="22" max="22" width="8.7109375" style="1" hidden="1" customWidth="1"/>
    <col min="23" max="23" width="27.85546875" style="1" hidden="1" customWidth="1"/>
    <col min="24" max="24" width="13.85546875" style="1" hidden="1" customWidth="1"/>
    <col min="25" max="25" width="9.140625" style="1" customWidth="1"/>
    <col min="26" max="26" width="9.140625" style="95" customWidth="1"/>
    <col min="27" max="29" width="11" style="95" customWidth="1"/>
    <col min="30" max="36" width="9.140625" style="95" customWidth="1"/>
    <col min="37" max="37" width="9.140625" style="1" customWidth="1"/>
    <col min="38" max="16384" width="9.140625" style="1"/>
  </cols>
  <sheetData>
    <row r="1" spans="1:31" x14ac:dyDescent="0.25">
      <c r="A1" s="102" t="s">
        <v>2620</v>
      </c>
      <c r="B1" s="95"/>
      <c r="C1" s="95"/>
      <c r="D1" s="95"/>
      <c r="E1" s="95"/>
      <c r="F1" s="95"/>
      <c r="G1" s="95"/>
      <c r="H1" s="95"/>
      <c r="I1" s="95"/>
      <c r="J1" s="95"/>
      <c r="K1" s="95"/>
      <c r="L1" s="95"/>
      <c r="M1" s="95"/>
      <c r="N1" s="95"/>
      <c r="O1" s="95"/>
      <c r="P1" s="95"/>
      <c r="Q1" s="95"/>
      <c r="R1" s="95"/>
      <c r="S1" s="95"/>
    </row>
    <row r="2" spans="1:31" x14ac:dyDescent="0.25">
      <c r="A2" s="95"/>
      <c r="B2" s="387"/>
      <c r="C2" s="388"/>
      <c r="D2" s="388"/>
      <c r="E2" s="388"/>
      <c r="F2" s="388"/>
      <c r="G2" s="388"/>
      <c r="H2" s="388"/>
      <c r="I2" s="388"/>
      <c r="J2" s="388"/>
      <c r="K2" s="388"/>
      <c r="L2" s="388"/>
      <c r="M2" s="388"/>
      <c r="N2" s="388"/>
      <c r="O2" s="388"/>
      <c r="P2" s="388"/>
      <c r="Q2" s="388"/>
      <c r="R2" s="389"/>
      <c r="S2" s="95"/>
      <c r="Y2" s="382"/>
      <c r="Z2" s="96"/>
      <c r="AA2" s="96"/>
      <c r="AB2" s="96"/>
      <c r="AC2" s="96"/>
      <c r="AD2" s="96"/>
      <c r="AE2" s="97"/>
    </row>
    <row r="3" spans="1:31" ht="27.75" customHeight="1" x14ac:dyDescent="0.6">
      <c r="A3" s="95"/>
      <c r="B3" s="390"/>
      <c r="C3" s="391"/>
      <c r="D3" s="391"/>
      <c r="E3" s="391"/>
      <c r="F3" s="756" t="s">
        <v>3499</v>
      </c>
      <c r="G3" s="756"/>
      <c r="H3" s="756"/>
      <c r="I3" s="756"/>
      <c r="J3" s="756"/>
      <c r="K3" s="756"/>
      <c r="L3" s="756"/>
      <c r="M3" s="756"/>
      <c r="N3" s="756"/>
      <c r="O3" s="756"/>
      <c r="P3" s="756"/>
      <c r="Q3" s="756"/>
      <c r="R3" s="392"/>
      <c r="S3" s="95"/>
      <c r="Y3" s="383"/>
      <c r="Z3" s="754" t="s">
        <v>3544</v>
      </c>
      <c r="AA3" s="754"/>
      <c r="AB3" s="754"/>
      <c r="AC3" s="754"/>
      <c r="AD3" s="754"/>
      <c r="AE3" s="99"/>
    </row>
    <row r="4" spans="1:31" ht="14.25" customHeight="1" x14ac:dyDescent="0.25">
      <c r="A4" s="95"/>
      <c r="B4" s="390"/>
      <c r="C4" s="391"/>
      <c r="D4" s="391"/>
      <c r="E4" s="391"/>
      <c r="F4" s="755" t="s">
        <v>3500</v>
      </c>
      <c r="G4" s="755"/>
      <c r="H4" s="755"/>
      <c r="I4" s="755"/>
      <c r="J4" s="755"/>
      <c r="K4" s="755"/>
      <c r="L4" s="755"/>
      <c r="M4" s="755"/>
      <c r="N4" s="755"/>
      <c r="O4" s="755"/>
      <c r="P4" s="755"/>
      <c r="Q4" s="755"/>
      <c r="R4" s="392"/>
      <c r="S4" s="95"/>
      <c r="Y4" s="383"/>
      <c r="Z4" s="754"/>
      <c r="AA4" s="754"/>
      <c r="AB4" s="754"/>
      <c r="AC4" s="754"/>
      <c r="AD4" s="754"/>
      <c r="AE4" s="99"/>
    </row>
    <row r="5" spans="1:31" ht="12" customHeight="1" x14ac:dyDescent="0.25">
      <c r="A5" s="95"/>
      <c r="B5" s="390"/>
      <c r="C5" s="391"/>
      <c r="D5" s="391"/>
      <c r="E5" s="391"/>
      <c r="F5" s="755"/>
      <c r="G5" s="755"/>
      <c r="H5" s="755"/>
      <c r="I5" s="755"/>
      <c r="J5" s="755"/>
      <c r="K5" s="755"/>
      <c r="L5" s="755"/>
      <c r="M5" s="755"/>
      <c r="N5" s="755"/>
      <c r="O5" s="755"/>
      <c r="P5" s="755"/>
      <c r="Q5" s="755"/>
      <c r="R5" s="392"/>
      <c r="S5" s="95"/>
      <c r="Y5" s="383"/>
      <c r="Z5" s="754"/>
      <c r="AA5" s="754"/>
      <c r="AB5" s="754"/>
      <c r="AC5" s="754"/>
      <c r="AD5" s="754"/>
      <c r="AE5" s="99"/>
    </row>
    <row r="6" spans="1:31" ht="25.5" hidden="1" customHeight="1" x14ac:dyDescent="0.25">
      <c r="A6" s="95"/>
      <c r="B6" s="390"/>
      <c r="C6" s="391"/>
      <c r="D6" s="391"/>
      <c r="E6" s="391"/>
      <c r="F6" s="393"/>
      <c r="G6" s="393"/>
      <c r="H6" s="393"/>
      <c r="I6" s="391" t="s">
        <v>2454</v>
      </c>
      <c r="J6" s="393"/>
      <c r="K6" s="393"/>
      <c r="L6" s="393"/>
      <c r="M6" s="393"/>
      <c r="N6" s="393"/>
      <c r="O6" s="393"/>
      <c r="P6" s="393"/>
      <c r="Q6" s="393"/>
      <c r="R6" s="392"/>
      <c r="S6" s="95"/>
      <c r="Y6" s="383"/>
      <c r="Z6" s="754"/>
      <c r="AA6" s="754"/>
      <c r="AB6" s="754"/>
      <c r="AC6" s="754"/>
      <c r="AD6" s="754"/>
      <c r="AE6" s="99"/>
    </row>
    <row r="7" spans="1:31" ht="15.75" hidden="1" customHeight="1" x14ac:dyDescent="0.25">
      <c r="A7" s="95"/>
      <c r="B7" s="390"/>
      <c r="C7" s="391"/>
      <c r="D7" s="391"/>
      <c r="E7" s="391"/>
      <c r="F7" s="394"/>
      <c r="G7" s="394"/>
      <c r="H7" s="394"/>
      <c r="I7" s="394"/>
      <c r="J7" s="394"/>
      <c r="K7" s="394"/>
      <c r="L7" s="394"/>
      <c r="M7" s="394"/>
      <c r="N7" s="394"/>
      <c r="O7" s="394"/>
      <c r="P7" s="394"/>
      <c r="Q7" s="394"/>
      <c r="R7" s="392"/>
      <c r="S7" s="95"/>
      <c r="Y7" s="383"/>
      <c r="Z7" s="754"/>
      <c r="AA7" s="754"/>
      <c r="AB7" s="754"/>
      <c r="AC7" s="754"/>
      <c r="AD7" s="754"/>
      <c r="AE7" s="99"/>
    </row>
    <row r="8" spans="1:31" ht="17.25" customHeight="1" x14ac:dyDescent="0.3">
      <c r="A8" s="95"/>
      <c r="B8" s="390"/>
      <c r="C8" s="391"/>
      <c r="D8" s="395"/>
      <c r="E8" s="395"/>
      <c r="F8" s="365"/>
      <c r="G8" s="396"/>
      <c r="H8" s="397" t="s">
        <v>2698</v>
      </c>
      <c r="I8" s="472" t="s">
        <v>3557</v>
      </c>
      <c r="J8" s="398"/>
      <c r="K8" s="398"/>
      <c r="L8" s="395"/>
      <c r="M8" s="395"/>
      <c r="N8" s="395"/>
      <c r="O8" s="395"/>
      <c r="P8" s="395"/>
      <c r="Q8" s="391"/>
      <c r="R8" s="392"/>
      <c r="S8" s="95"/>
      <c r="Y8" s="383"/>
      <c r="Z8" s="754"/>
      <c r="AA8" s="754"/>
      <c r="AB8" s="754"/>
      <c r="AC8" s="754"/>
      <c r="AD8" s="754"/>
      <c r="AE8" s="99"/>
    </row>
    <row r="9" spans="1:31" ht="17.25" customHeight="1" x14ac:dyDescent="0.3">
      <c r="A9" s="95"/>
      <c r="B9" s="390"/>
      <c r="C9" s="391"/>
      <c r="D9" s="395"/>
      <c r="E9" s="395"/>
      <c r="F9" s="396"/>
      <c r="G9" s="396"/>
      <c r="H9" s="397" t="s">
        <v>2699</v>
      </c>
      <c r="I9" s="472" t="s">
        <v>3555</v>
      </c>
      <c r="J9" s="398"/>
      <c r="K9" s="398"/>
      <c r="L9" s="745" t="s">
        <v>3542</v>
      </c>
      <c r="M9" s="395"/>
      <c r="N9" s="395"/>
      <c r="O9" s="395"/>
      <c r="P9" s="395"/>
      <c r="Q9" s="391"/>
      <c r="R9" s="392"/>
      <c r="S9" s="95"/>
      <c r="W9" s="159" t="s">
        <v>2401</v>
      </c>
      <c r="Y9" s="383"/>
      <c r="AD9" s="98"/>
      <c r="AE9" s="99"/>
    </row>
    <row r="10" spans="1:31" ht="17.25" customHeight="1" x14ac:dyDescent="0.3">
      <c r="A10" s="95"/>
      <c r="B10" s="390"/>
      <c r="C10" s="391"/>
      <c r="D10" s="395"/>
      <c r="E10" s="395"/>
      <c r="F10" s="365"/>
      <c r="G10" s="396"/>
      <c r="H10" s="397" t="s">
        <v>2700</v>
      </c>
      <c r="I10" s="472" t="s">
        <v>3556</v>
      </c>
      <c r="J10" s="398"/>
      <c r="K10" s="398"/>
      <c r="L10" s="768" t="str">
        <f>IF(AND(AD11="Si",AD12="Oui",AD13="Si",AD14="Si",AD17="Si",AD18="Si",AD19="Si",AD20="Si",AD21="Si",AD26="Si",AD27="Si",AD28="Si",AD29="Si",AD30="Si",AD31="Si",AD32="Si",AD33="Si",AD34="Si",AD35="Si",AD36="Si",AD37="Si",AD38="Si"),"Si- il formulario esta pronto para enviar","No - por favor verificar que el formulario esté correctamente completado")</f>
        <v>No - por favor verificar que el formulario esté correctamente completado</v>
      </c>
      <c r="M10" s="768"/>
      <c r="N10" s="768"/>
      <c r="O10" s="768"/>
      <c r="P10" s="395"/>
      <c r="Q10" s="391"/>
      <c r="R10" s="392"/>
      <c r="S10" s="95"/>
      <c r="U10" s="365" t="str">
        <f>Reporting_Period_Code&amp;"A1"</f>
        <v>2016A1</v>
      </c>
      <c r="W10" s="370"/>
      <c r="Y10" s="383"/>
      <c r="Z10" s="385" t="s">
        <v>3545</v>
      </c>
      <c r="AA10" s="98"/>
      <c r="AB10" s="98"/>
      <c r="AD10" s="98"/>
      <c r="AE10" s="99"/>
    </row>
    <row r="11" spans="1:31" ht="17.25" customHeight="1" x14ac:dyDescent="0.3">
      <c r="A11" s="95"/>
      <c r="B11" s="390"/>
      <c r="C11" s="391" t="s">
        <v>2617</v>
      </c>
      <c r="D11" s="395"/>
      <c r="E11" s="395"/>
      <c r="F11" s="396"/>
      <c r="G11" s="396"/>
      <c r="H11" s="397" t="s">
        <v>2701</v>
      </c>
      <c r="I11" s="364"/>
      <c r="J11" s="398"/>
      <c r="K11" s="398"/>
      <c r="L11" s="768"/>
      <c r="M11" s="768"/>
      <c r="N11" s="768"/>
      <c r="O11" s="768"/>
      <c r="P11" s="395"/>
      <c r="Q11" s="391"/>
      <c r="R11" s="392"/>
      <c r="S11" s="95"/>
      <c r="U11" s="366"/>
      <c r="W11" s="370" t="s">
        <v>2684</v>
      </c>
      <c r="Y11" s="383"/>
      <c r="Z11" s="98" t="s">
        <v>3546</v>
      </c>
      <c r="AA11" s="98"/>
      <c r="AB11" s="98"/>
      <c r="AD11" s="414" t="str">
        <f>IF(AND(NOT(ISBLANK(I11)),NOT(ISBLANK(I12))),"Si","No")</f>
        <v>No</v>
      </c>
      <c r="AE11" s="99"/>
    </row>
    <row r="12" spans="1:31" ht="17.25" customHeight="1" x14ac:dyDescent="0.25">
      <c r="A12" s="95"/>
      <c r="B12" s="390"/>
      <c r="C12" s="391" t="s">
        <v>2618</v>
      </c>
      <c r="D12" s="396"/>
      <c r="E12" s="396"/>
      <c r="F12" s="396"/>
      <c r="G12" s="396"/>
      <c r="H12" s="397" t="s">
        <v>2702</v>
      </c>
      <c r="I12" s="364"/>
      <c r="J12" s="398"/>
      <c r="K12" s="398"/>
      <c r="L12" s="768"/>
      <c r="M12" s="768"/>
      <c r="N12" s="768"/>
      <c r="O12" s="768"/>
      <c r="P12" s="398"/>
      <c r="Q12" s="391"/>
      <c r="R12" s="392"/>
      <c r="S12" s="95"/>
      <c r="U12" s="365" t="s">
        <v>1588</v>
      </c>
      <c r="W12" s="370" t="s">
        <v>2449</v>
      </c>
      <c r="Y12" s="383"/>
      <c r="Z12" s="95" t="s">
        <v>3547</v>
      </c>
      <c r="AA12" s="98"/>
      <c r="AB12" s="98"/>
      <c r="AD12" s="414" t="str">
        <f>IF(I14="","No","Si")</f>
        <v>Si</v>
      </c>
      <c r="AE12" s="99"/>
    </row>
    <row r="13" spans="1:31" ht="17.25" customHeight="1" x14ac:dyDescent="0.3">
      <c r="A13" s="95"/>
      <c r="B13" s="390"/>
      <c r="C13" s="365"/>
      <c r="D13" s="396"/>
      <c r="E13" s="396"/>
      <c r="F13" s="396"/>
      <c r="G13" s="396"/>
      <c r="H13" s="397" t="s">
        <v>2703</v>
      </c>
      <c r="I13" s="453" t="s">
        <v>2841</v>
      </c>
      <c r="J13" s="398"/>
      <c r="K13" s="398"/>
      <c r="L13" s="746" t="s">
        <v>3543</v>
      </c>
      <c r="M13" s="395"/>
      <c r="N13" s="395"/>
      <c r="O13" s="395"/>
      <c r="P13" s="398"/>
      <c r="Q13" s="391"/>
      <c r="R13" s="392"/>
      <c r="S13" s="95"/>
      <c r="U13" s="365"/>
      <c r="W13" s="370" t="s">
        <v>2450</v>
      </c>
      <c r="Y13" s="383"/>
      <c r="Z13" s="95" t="s">
        <v>3548</v>
      </c>
      <c r="AD13" s="95" t="str">
        <f>IF(I15="","No","Si")</f>
        <v>Si</v>
      </c>
      <c r="AE13" s="99"/>
    </row>
    <row r="14" spans="1:31" ht="17.25" customHeight="1" x14ac:dyDescent="0.25">
      <c r="A14" s="95"/>
      <c r="B14" s="390"/>
      <c r="C14" s="391" t="s">
        <v>1578</v>
      </c>
      <c r="D14" s="396"/>
      <c r="E14" s="396"/>
      <c r="F14" s="396"/>
      <c r="G14" s="396"/>
      <c r="H14" s="397" t="s">
        <v>2704</v>
      </c>
      <c r="I14" s="364" t="s">
        <v>2486</v>
      </c>
      <c r="J14" s="398"/>
      <c r="K14" s="398"/>
      <c r="L14" s="398"/>
      <c r="M14" s="398"/>
      <c r="N14" s="398"/>
      <c r="O14" s="398"/>
      <c r="P14" s="398"/>
      <c r="Q14" s="391"/>
      <c r="R14" s="392"/>
      <c r="S14" s="95"/>
      <c r="U14" s="365"/>
      <c r="W14" s="370" t="s">
        <v>2685</v>
      </c>
      <c r="Y14" s="383"/>
      <c r="Z14" s="95" t="s">
        <v>3549</v>
      </c>
      <c r="AA14" s="98"/>
      <c r="AB14" s="98"/>
      <c r="AD14" s="414" t="str">
        <f>IF(COUNTBLANK(METADATA_COVERPAGE_2)&gt;0,"No","Si")</f>
        <v>No</v>
      </c>
      <c r="AE14" s="99"/>
    </row>
    <row r="15" spans="1:31" ht="17.25" x14ac:dyDescent="0.25">
      <c r="A15" s="95"/>
      <c r="B15" s="390"/>
      <c r="C15" s="391" t="s">
        <v>1579</v>
      </c>
      <c r="D15" s="396"/>
      <c r="E15" s="396"/>
      <c r="F15" s="396"/>
      <c r="G15" s="396"/>
      <c r="H15" s="397" t="s">
        <v>2705</v>
      </c>
      <c r="I15" s="364" t="s">
        <v>2450</v>
      </c>
      <c r="J15" s="398"/>
      <c r="K15" s="398"/>
      <c r="L15" s="677" t="s">
        <v>2684</v>
      </c>
      <c r="M15" s="677" t="s">
        <v>2712</v>
      </c>
      <c r="N15" s="398"/>
      <c r="O15" s="398"/>
      <c r="P15" s="398"/>
      <c r="Q15" s="391"/>
      <c r="R15" s="392"/>
      <c r="S15" s="95"/>
      <c r="Y15" s="383"/>
      <c r="Z15" s="467" t="s">
        <v>3550</v>
      </c>
      <c r="AD15" s="98"/>
      <c r="AE15" s="99"/>
    </row>
    <row r="16" spans="1:31" ht="10.5" customHeight="1" x14ac:dyDescent="0.3">
      <c r="A16" s="95"/>
      <c r="B16" s="390"/>
      <c r="C16" s="391"/>
      <c r="D16" s="395"/>
      <c r="E16" s="395"/>
      <c r="F16" s="395"/>
      <c r="G16" s="395"/>
      <c r="H16" s="740"/>
      <c r="I16" s="400"/>
      <c r="J16" s="395"/>
      <c r="K16" s="398"/>
      <c r="L16" s="677" t="s">
        <v>2449</v>
      </c>
      <c r="M16" s="677" t="s">
        <v>2713</v>
      </c>
      <c r="N16" s="395"/>
      <c r="O16" s="395"/>
      <c r="P16" s="395"/>
      <c r="Q16" s="391"/>
      <c r="R16" s="392"/>
      <c r="S16" s="95"/>
      <c r="Y16" s="383"/>
      <c r="AD16" s="98"/>
      <c r="AE16" s="99"/>
    </row>
    <row r="17" spans="1:36" ht="17.25" x14ac:dyDescent="0.3">
      <c r="A17" s="95"/>
      <c r="B17" s="390"/>
      <c r="C17" s="391" t="s">
        <v>1585</v>
      </c>
      <c r="D17" s="395"/>
      <c r="E17" s="395"/>
      <c r="F17" s="395"/>
      <c r="G17" s="395"/>
      <c r="H17" s="399" t="s">
        <v>2706</v>
      </c>
      <c r="I17" s="364" t="s">
        <v>3560</v>
      </c>
      <c r="J17" s="395"/>
      <c r="K17" s="398"/>
      <c r="L17" s="677" t="s">
        <v>2450</v>
      </c>
      <c r="M17" s="677" t="s">
        <v>2714</v>
      </c>
      <c r="N17" s="395"/>
      <c r="O17" s="395"/>
      <c r="P17" s="395"/>
      <c r="Q17" s="391"/>
      <c r="R17" s="392"/>
      <c r="S17" s="95"/>
      <c r="W17" s="370" t="s">
        <v>1590</v>
      </c>
      <c r="X17" s="371" t="s">
        <v>1587</v>
      </c>
      <c r="Y17" s="383"/>
      <c r="Z17" s="95" t="s">
        <v>3501</v>
      </c>
      <c r="AD17" s="470" t="str">
        <f>IF(AND(OR(IF(ISNUMBER(Table1!E118),ABS(Table1!E118)&lt;0.05,FALSE),TRIM(Table1!E118)="NA"),OR(IF(ISNUMBER(Table1!F118),ABS(Table1!F118)&lt;0.05,FALSE),TRIM(Table1!F118)="NA"),OR(IF(ISNUMBER(Table1!G118),ABS(Table1!G118)&lt;0.05,FALSE),TRIM(Table1!G118)="NA"),OR(IF(ISNUMBER(Table1!H118),ABS(Table1!H118)&lt;0.05,FALSE),TRIM(Table1!H118)="NA"),OR(IF(ISNUMBER(Table1!I118),ABS(Table1!I118)&lt;0.05,FALSE),TRIM(Table1!I118)="NA"),OR(IF(ISNUMBER(Table1!J118),ABS(Table1!J118)&lt;0.05,FALSE),TRIM(Table1!J118)="NA"),OR(IF(ISNUMBER(Table1!K118),ABS(Table1!K118)&lt;0.05,FALSE),TRIM(Table1!K118)="NA"),OR(IF(ISNUMBER(Table1!L118),ABS(Table1!L118)&lt;0.05,FALSE),TRIM(Table1!L118)="NA"),OR(IF(ISNUMBER(Table1!M118),ABS(Table1!M118)&lt;0.05,FALSE),TRIM(Table1!M118)="NA"),OR(IF(ISNUMBER(Table1!N118),ABS(Table1!N118)&lt;0.05,FALSE),TRIM(Table1!N118)="NA")),"Si","No")</f>
        <v>Si</v>
      </c>
      <c r="AE17" s="99"/>
    </row>
    <row r="18" spans="1:36" ht="17.25" x14ac:dyDescent="0.3">
      <c r="A18" s="95"/>
      <c r="B18" s="390"/>
      <c r="C18" s="391" t="s">
        <v>1580</v>
      </c>
      <c r="D18" s="395"/>
      <c r="E18" s="395"/>
      <c r="F18" s="395"/>
      <c r="G18" s="395"/>
      <c r="H18" s="399" t="s">
        <v>2707</v>
      </c>
      <c r="I18" s="364" t="s">
        <v>3561</v>
      </c>
      <c r="J18" s="395"/>
      <c r="K18" s="398"/>
      <c r="L18" s="677" t="s">
        <v>2685</v>
      </c>
      <c r="M18" s="677" t="s">
        <v>2715</v>
      </c>
      <c r="N18" s="395"/>
      <c r="O18" s="395"/>
      <c r="P18" s="395"/>
      <c r="Q18" s="391"/>
      <c r="R18" s="392"/>
      <c r="S18" s="95"/>
      <c r="W18" s="370" t="s">
        <v>1591</v>
      </c>
      <c r="X18" s="371" t="s">
        <v>1588</v>
      </c>
      <c r="Y18" s="383"/>
      <c r="Z18" s="95" t="s">
        <v>3502</v>
      </c>
      <c r="AD18" s="470" t="str">
        <f>IF(AND(OR(IF(ISNUMBER(Table2!E84),ABS(Table2!E84)&lt;0.05,FALSE),TRIM(Table2!E84)="NA"),OR(IF(ISNUMBER(Table2!F84),ABS(Table2!F84)&lt;0.05,FALSE),TRIM(Table2!F84)="NA"),OR(IF(ISNUMBER(Table2!G84),ABS(Table2!G84)&lt;0.05,FALSE),TRIM(Table2!G84)="NA"),OR(IF(ISNUMBER(Table2!H84),ABS(Table2!H84)&lt;0.05,FALSE),TRIM(Table2!H84)="NA"),OR(IF(ISNUMBER(Table2!I84),ABS(Table2!I84)&lt;0.05,FALSE),TRIM(Table2!I84)="NA"),OR(IF(ISNUMBER(Table2!J84),ABS(Table2!J84)&lt;0.05,FALSE),TRIM(Table2!J84)="NA"),OR(IF(ISNUMBER(Table2!K84),ABS(Table2!K84)&lt;0.05,FALSE),TRIM(Table2!K84)="NA"),OR(IF(ISNUMBER(Table2!L84),ABS(Table2!L84)&lt;0.05,FALSE),TRIM(Table2!L84)="NA"),OR(IF(ISNUMBER(Table2!M84),ABS(Table2!M84)&lt;0.05,FALSE),TRIM(Table2!M84)="NA"),OR(IF(ISNUMBER(Table2!N84),ABS(Table2!N84)&lt;0.05,FALSE),TRIM(Table2!N84)="NA")),"Si","No")</f>
        <v>Si</v>
      </c>
      <c r="AE18" s="99"/>
    </row>
    <row r="19" spans="1:36" ht="17.25" x14ac:dyDescent="0.3">
      <c r="A19" s="95"/>
      <c r="B19" s="390"/>
      <c r="C19" s="391" t="s">
        <v>1581</v>
      </c>
      <c r="D19" s="395"/>
      <c r="E19" s="395"/>
      <c r="F19" s="395"/>
      <c r="G19" s="395"/>
      <c r="H19" s="399" t="s">
        <v>2708</v>
      </c>
      <c r="I19" s="364" t="s">
        <v>3562</v>
      </c>
      <c r="J19" s="395"/>
      <c r="K19" s="395"/>
      <c r="L19" s="395"/>
      <c r="M19" s="395"/>
      <c r="N19" s="395"/>
      <c r="O19" s="395"/>
      <c r="P19" s="395"/>
      <c r="Q19" s="391"/>
      <c r="R19" s="392"/>
      <c r="S19" s="95"/>
      <c r="W19" s="370" t="s">
        <v>1589</v>
      </c>
      <c r="X19" s="371" t="s">
        <v>1586</v>
      </c>
      <c r="Y19" s="383"/>
      <c r="Z19" s="95" t="s">
        <v>3503</v>
      </c>
      <c r="AD19" s="98" t="str">
        <f>IF(AND(OR(IF(ISNUMBER(Table3!E103),ABS(Table3!E103)&lt;0.05,FALSE),TRIM(Table3!E103)="NA"),OR(IF(ISNUMBER(Table3!F103),ABS(Table3!F103)&lt;0.05,FALSE),TRIM(Table3!F103)="NA"),OR(IF(ISNUMBER(Table3!G103),ABS(Table3!G103)&lt;0.05,FALSE),TRIM(Table3!G103)="NA"),OR(IF(ISNUMBER(Table3!H103),ABS(Table3!H103)&lt;0.05,FALSE),TRIM(Table3!H103)="NA"),OR(IF(ISNUMBER(Table3!I103),ABS(Table3!I103)&lt;0.05,FALSE),TRIM(Table3!I103)="NA"),OR(IF(ISNUMBER(Table3!J103),ABS(Table3!J103)&lt;0.05,FALSE),TRIM(Table3!J103)="NA"),OR(IF(ISNUMBER(Table3!K103),ABS(Table3!K103)&lt;0.05,FALSE),TRIM(Table3!K103)="NA"),OR(IF(ISNUMBER(Table3!L103),ABS(Table3!L103)&lt;0.05,FALSE),TRIM(Table3!L103)="NA"),OR(IF(ISNUMBER(Table3!M103),ABS(Table3!M103)&lt;0.05,FALSE),TRIM(Table3!M103)="NA"),OR(IF(ISNUMBER(Table3!N103),ABS(Table3!N103)&lt;0.05,FALSE),TRIM(Table3!N103)="NA")),"Si","No")</f>
        <v>Si</v>
      </c>
      <c r="AE19" s="99"/>
    </row>
    <row r="20" spans="1:36" ht="17.25" x14ac:dyDescent="0.3">
      <c r="A20" s="95"/>
      <c r="B20" s="390"/>
      <c r="C20" s="391" t="s">
        <v>1582</v>
      </c>
      <c r="D20" s="395"/>
      <c r="E20" s="395"/>
      <c r="F20" s="395"/>
      <c r="G20" s="395"/>
      <c r="H20" s="399" t="s">
        <v>2709</v>
      </c>
      <c r="I20" s="364"/>
      <c r="J20" s="395"/>
      <c r="K20" s="395"/>
      <c r="L20" s="395"/>
      <c r="M20" s="395"/>
      <c r="N20" s="395"/>
      <c r="O20" s="395"/>
      <c r="P20" s="395"/>
      <c r="Q20" s="391"/>
      <c r="R20" s="392"/>
      <c r="S20" s="95"/>
      <c r="W20" s="367"/>
      <c r="X20" s="369"/>
      <c r="Y20" s="383"/>
      <c r="Z20" s="95" t="s">
        <v>3506</v>
      </c>
      <c r="AD20" s="98" t="str">
        <f>IF(AND(OR(IF(ISNUMBER(Table6!E119),ABS(Table6!E119)&lt;0.05,FALSE),TRIM(Table6!E119)="NA"),OR(IF(ISNUMBER(Table6!F119),ABS(Table6!F119)&lt;0.05,FALSE),TRIM(Table6!F119)="NA"),OR(IF(ISNUMBER(Table6!G119),ABS(Table6!G119)&lt;0.05,FALSE),TRIM(Table6!G119)="NA"),OR(IF(ISNUMBER(Table6!H119),ABS(Table6!H119)&lt;0.05,FALSE),TRIM(Table6!H119)="NA"),OR(IF(ISNUMBER(Table6!I119),ABS(Table6!I119)&lt;0.05,FALSE),TRIM(Table6!I119)="NA"),OR(IF(ISNUMBER(Table6!J119),ABS(Table6!J119)&lt;0.05,FALSE),TRIM(Table6!J119)="NA"),OR(IF(ISNUMBER(Table6!K119),ABS(Table6!K119)&lt;0.05,FALSE),TRIM(Table6!K119)="NA"),OR(IF(ISNUMBER(Table6!L119),ABS(Table6!L119)&lt;0.05,FALSE),TRIM(Table6!L119)="NA"),OR(IF(ISNUMBER(Table6!M119),ABS(Table6!M119)&lt;0.05,FALSE),TRIM(Table6!M119)="NA"),OR(IF(ISNUMBER(Table6!N119),ABS(Table6!N119)&lt;0.05,FALSE),TRIM(Table6!N119)="NA")),"Si","No")</f>
        <v>Si</v>
      </c>
      <c r="AE20" s="99"/>
    </row>
    <row r="21" spans="1:36" ht="17.25" customHeight="1" x14ac:dyDescent="0.3">
      <c r="A21" s="95"/>
      <c r="B21" s="390"/>
      <c r="C21" s="391" t="s">
        <v>1583</v>
      </c>
      <c r="D21" s="395"/>
      <c r="E21" s="395"/>
      <c r="F21" s="395"/>
      <c r="G21" s="395"/>
      <c r="H21" s="399" t="s">
        <v>2710</v>
      </c>
      <c r="I21" s="364"/>
      <c r="J21" s="395"/>
      <c r="K21" s="395"/>
      <c r="L21" s="395"/>
      <c r="M21" s="395"/>
      <c r="N21" s="395"/>
      <c r="O21" s="395"/>
      <c r="P21" s="395"/>
      <c r="Q21" s="391"/>
      <c r="R21" s="392"/>
      <c r="S21" s="95"/>
      <c r="W21" s="368" t="s">
        <v>2610</v>
      </c>
      <c r="X21" s="369"/>
      <c r="Y21" s="383"/>
      <c r="Z21" s="95" t="s">
        <v>3507</v>
      </c>
      <c r="AD21" s="471" t="str">
        <f>IF(AND(OR(IF(ISNUMBER(Table7!E92),ABS(Table7!E92)&lt;0.05,FALSE),TRIM(Table7!E92)="NA"),OR(IF(ISNUMBER(Table7!F92),ABS(Table7!F92)&lt;0.05,FALSE),TRIM(Table7!F92)="NA"),OR(IF(ISNUMBER(Table7!G92),ABS(Table7!G92)&lt;0.05,FALSE),TRIM(Table7!G92)="NA"),OR(IF(ISNUMBER(Table7!H92),ABS(Table7!H92)&lt;0.05,FALSE),TRIM(Table7!H92)="NA"),OR(IF(ISNUMBER(Table7!I92),ABS(Table7!I92)&lt;0.05,FALSE),TRIM(Table7!I92)="NA"),OR(IF(ISNUMBER(Table7!J92),ABS(Table7!J92)&lt;0.05,FALSE),TRIM(Table7!J92)="NA"),OR(IF(ISNUMBER(Table7!K92),ABS(Table7!K92)&lt;0.05,FALSE),TRIM(Table7!K92)="NA"),OR(IF(ISNUMBER(Table7!L92),ABS(Table7!L92)&lt;0.05,FALSE),TRIM(Table7!L92)="NA"),OR(IF(ISNUMBER(Table7!M92),ABS(Table7!M92)&lt;0.05,FALSE),TRIM(Table7!M92)="NA"),OR(IF(ISNUMBER(Table7!N92),ABS(Table7!N92)&lt;0.05,FALSE),TRIM(Table7!N92)="NA")),"Si","No")</f>
        <v>Si</v>
      </c>
      <c r="AE21" s="99"/>
    </row>
    <row r="22" spans="1:36" ht="17.25" customHeight="1" x14ac:dyDescent="0.3">
      <c r="A22" s="95"/>
      <c r="B22" s="390"/>
      <c r="C22" s="391" t="s">
        <v>1584</v>
      </c>
      <c r="D22" s="395"/>
      <c r="E22" s="395"/>
      <c r="F22" s="395"/>
      <c r="G22" s="395"/>
      <c r="H22" s="399" t="s">
        <v>2711</v>
      </c>
      <c r="I22" s="413"/>
      <c r="J22" s="395"/>
      <c r="K22" s="395"/>
      <c r="L22" s="395"/>
      <c r="M22" s="395"/>
      <c r="N22" s="395"/>
      <c r="O22" s="395"/>
      <c r="P22" s="395"/>
      <c r="Q22" s="391"/>
      <c r="R22" s="392"/>
      <c r="S22" s="95"/>
      <c r="W22" s="372" t="s">
        <v>2686</v>
      </c>
      <c r="X22" s="371">
        <v>1</v>
      </c>
      <c r="Y22" s="383"/>
      <c r="Z22" s="468"/>
      <c r="AA22" s="468"/>
      <c r="AB22" s="468"/>
      <c r="AC22" s="468"/>
      <c r="AD22" s="468"/>
      <c r="AE22" s="99"/>
    </row>
    <row r="23" spans="1:36" ht="18" customHeight="1" x14ac:dyDescent="0.35">
      <c r="A23" s="95"/>
      <c r="B23" s="390"/>
      <c r="C23" s="391"/>
      <c r="D23" s="391"/>
      <c r="E23" s="401"/>
      <c r="F23" s="401"/>
      <c r="G23" s="401"/>
      <c r="H23" s="401"/>
      <c r="I23" s="391"/>
      <c r="J23" s="391"/>
      <c r="K23" s="391"/>
      <c r="L23" s="391"/>
      <c r="M23" s="391"/>
      <c r="N23" s="391"/>
      <c r="O23" s="391"/>
      <c r="P23" s="391"/>
      <c r="Q23" s="391"/>
      <c r="R23" s="392"/>
      <c r="S23" s="95"/>
      <c r="W23" s="372" t="s">
        <v>2687</v>
      </c>
      <c r="X23" s="371">
        <v>2</v>
      </c>
      <c r="Y23" s="383"/>
      <c r="Z23" s="753" t="s">
        <v>3551</v>
      </c>
      <c r="AA23" s="753"/>
      <c r="AB23" s="753"/>
      <c r="AC23" s="753"/>
      <c r="AD23" s="753"/>
      <c r="AE23" s="99"/>
    </row>
    <row r="24" spans="1:36" ht="66" customHeight="1" x14ac:dyDescent="0.25">
      <c r="A24" s="95"/>
      <c r="B24" s="390"/>
      <c r="C24" s="391"/>
      <c r="D24" s="759" t="s">
        <v>3514</v>
      </c>
      <c r="E24" s="760"/>
      <c r="F24" s="760"/>
      <c r="G24" s="760"/>
      <c r="H24" s="761"/>
      <c r="I24" s="402" t="s">
        <v>2716</v>
      </c>
      <c r="J24" s="402" t="s">
        <v>2717</v>
      </c>
      <c r="K24" s="402" t="s">
        <v>2718</v>
      </c>
      <c r="L24" s="402" t="s">
        <v>2719</v>
      </c>
      <c r="M24" s="402" t="s">
        <v>2720</v>
      </c>
      <c r="N24" s="402" t="s">
        <v>2721</v>
      </c>
      <c r="O24" s="402" t="s">
        <v>2722</v>
      </c>
      <c r="P24" s="402" t="s">
        <v>2723</v>
      </c>
      <c r="Q24" s="403"/>
      <c r="R24" s="392"/>
      <c r="S24" s="95"/>
      <c r="W24" s="676" t="s">
        <v>2688</v>
      </c>
      <c r="X24" s="371">
        <v>3</v>
      </c>
      <c r="Y24" s="383"/>
      <c r="Z24" s="753"/>
      <c r="AA24" s="753"/>
      <c r="AB24" s="753"/>
      <c r="AC24" s="753"/>
      <c r="AD24" s="753"/>
      <c r="AE24" s="99"/>
    </row>
    <row r="25" spans="1:36" ht="15" customHeight="1" x14ac:dyDescent="0.25">
      <c r="A25" s="95"/>
      <c r="B25" s="390"/>
      <c r="C25" s="391"/>
      <c r="D25" s="762" t="s">
        <v>3513</v>
      </c>
      <c r="E25" s="763"/>
      <c r="F25" s="763"/>
      <c r="G25" s="763"/>
      <c r="H25" s="764"/>
      <c r="I25" s="481" t="s">
        <v>1562</v>
      </c>
      <c r="J25" s="481" t="s">
        <v>1563</v>
      </c>
      <c r="K25" s="481" t="s">
        <v>634</v>
      </c>
      <c r="L25" s="481" t="s">
        <v>1564</v>
      </c>
      <c r="M25" s="481" t="s">
        <v>1574</v>
      </c>
      <c r="N25" s="481" t="s">
        <v>637</v>
      </c>
      <c r="O25" s="481" t="s">
        <v>1565</v>
      </c>
      <c r="P25" s="481" t="s">
        <v>1577</v>
      </c>
      <c r="Q25" s="403"/>
      <c r="R25" s="392"/>
      <c r="S25" s="95"/>
      <c r="W25" s="676" t="s">
        <v>2689</v>
      </c>
      <c r="X25" s="371">
        <v>4</v>
      </c>
      <c r="Y25" s="383"/>
      <c r="AA25" s="98"/>
      <c r="AB25" s="98"/>
      <c r="AC25" s="98"/>
      <c r="AD25" s="98"/>
      <c r="AE25" s="99"/>
    </row>
    <row r="26" spans="1:36" ht="13.5" customHeight="1" x14ac:dyDescent="0.25">
      <c r="A26" s="95"/>
      <c r="B26" s="390"/>
      <c r="C26" s="391"/>
      <c r="D26" s="765"/>
      <c r="E26" s="766"/>
      <c r="F26" s="766"/>
      <c r="G26" s="766"/>
      <c r="H26" s="767"/>
      <c r="I26" s="482"/>
      <c r="J26" s="482"/>
      <c r="K26" s="482"/>
      <c r="L26" s="482"/>
      <c r="M26" s="482"/>
      <c r="N26" s="482"/>
      <c r="O26" s="482"/>
      <c r="P26" s="482"/>
      <c r="Q26" s="403"/>
      <c r="R26" s="392"/>
      <c r="S26" s="95"/>
      <c r="W26" s="676" t="s">
        <v>2690</v>
      </c>
      <c r="X26" s="371">
        <v>5</v>
      </c>
      <c r="Y26" s="383"/>
      <c r="Z26" s="95" t="s">
        <v>3512</v>
      </c>
      <c r="AD26" s="95" t="str">
        <f>IF(OR(COUNTBLANK(StatementII!E9:M22)&gt;0,COUNTBLANK(StatementII!E24:M30)&gt;0,COUNTBLANK(StatementII!E32:M40)&gt;0),"No","Si")</f>
        <v>No</v>
      </c>
      <c r="AE26" s="99"/>
      <c r="AJ26" s="1"/>
    </row>
    <row r="27" spans="1:36" ht="13.5" customHeight="1" x14ac:dyDescent="0.25">
      <c r="A27" s="95"/>
      <c r="B27" s="390"/>
      <c r="C27" s="391" t="s">
        <v>2619</v>
      </c>
      <c r="D27" s="736" t="s">
        <v>2724</v>
      </c>
      <c r="E27" s="737"/>
      <c r="F27" s="737"/>
      <c r="G27" s="737"/>
      <c r="H27" s="454" t="s">
        <v>2608</v>
      </c>
      <c r="I27" s="412" t="s">
        <v>3563</v>
      </c>
      <c r="J27" s="412" t="s">
        <v>3563</v>
      </c>
      <c r="K27" s="412" t="s">
        <v>3563</v>
      </c>
      <c r="L27" s="412" t="s">
        <v>3563</v>
      </c>
      <c r="M27" s="412" t="s">
        <v>3563</v>
      </c>
      <c r="N27" s="412" t="s">
        <v>3563</v>
      </c>
      <c r="O27" s="412" t="s">
        <v>3563</v>
      </c>
      <c r="P27" s="412" t="s">
        <v>3563</v>
      </c>
      <c r="Q27" s="403"/>
      <c r="R27" s="392"/>
      <c r="S27" s="95"/>
      <c r="W27" s="676" t="s">
        <v>2691</v>
      </c>
      <c r="X27" s="371">
        <v>6</v>
      </c>
      <c r="Y27" s="383"/>
      <c r="Z27" s="95" t="s">
        <v>3501</v>
      </c>
      <c r="AA27" s="98"/>
      <c r="AB27" s="98"/>
      <c r="AD27" s="95" t="str">
        <f>IF(COUNTBLANK(Table1!E8:N89)&gt;0,"No","Si")</f>
        <v>Si</v>
      </c>
      <c r="AE27" s="99"/>
      <c r="AJ27" s="1"/>
    </row>
    <row r="28" spans="1:36" ht="13.5" customHeight="1" x14ac:dyDescent="0.25">
      <c r="A28" s="95"/>
      <c r="B28" s="390"/>
      <c r="C28" s="391" t="s">
        <v>1567</v>
      </c>
      <c r="D28" s="736" t="s">
        <v>3515</v>
      </c>
      <c r="E28" s="737"/>
      <c r="F28" s="737"/>
      <c r="G28" s="737"/>
      <c r="H28" s="454" t="s">
        <v>2607</v>
      </c>
      <c r="I28" s="412" t="s">
        <v>3564</v>
      </c>
      <c r="J28" s="412" t="s">
        <v>3564</v>
      </c>
      <c r="K28" s="412" t="s">
        <v>3564</v>
      </c>
      <c r="L28" s="412" t="s">
        <v>3564</v>
      </c>
      <c r="M28" s="412" t="s">
        <v>3564</v>
      </c>
      <c r="N28" s="412" t="s">
        <v>3564</v>
      </c>
      <c r="O28" s="412" t="s">
        <v>3564</v>
      </c>
      <c r="P28" s="412" t="s">
        <v>3564</v>
      </c>
      <c r="Q28" s="403"/>
      <c r="R28" s="392"/>
      <c r="S28" s="95"/>
      <c r="W28" s="676" t="s">
        <v>2692</v>
      </c>
      <c r="X28" s="371">
        <v>7</v>
      </c>
      <c r="Y28" s="383"/>
      <c r="Z28" s="95" t="s">
        <v>3502</v>
      </c>
      <c r="AA28" s="98"/>
      <c r="AB28" s="98"/>
      <c r="AD28" s="95" t="str">
        <f>IF(COUNTBLANK(Table2!E8:N53)&gt;0,"No","Si")</f>
        <v>Si</v>
      </c>
      <c r="AE28" s="99"/>
      <c r="AJ28" s="1"/>
    </row>
    <row r="29" spans="1:36" ht="13.5" customHeight="1" x14ac:dyDescent="0.25">
      <c r="A29" s="95"/>
      <c r="B29" s="390"/>
      <c r="C29" s="391" t="s">
        <v>1566</v>
      </c>
      <c r="D29" s="736" t="s">
        <v>3516</v>
      </c>
      <c r="E29" s="737"/>
      <c r="F29" s="737"/>
      <c r="G29" s="737"/>
      <c r="H29" s="454" t="s">
        <v>2607</v>
      </c>
      <c r="I29" s="412" t="s">
        <v>3564</v>
      </c>
      <c r="J29" s="412" t="s">
        <v>3564</v>
      </c>
      <c r="K29" s="412" t="s">
        <v>3564</v>
      </c>
      <c r="L29" s="412" t="s">
        <v>3564</v>
      </c>
      <c r="M29" s="412" t="s">
        <v>3564</v>
      </c>
      <c r="N29" s="412" t="s">
        <v>3564</v>
      </c>
      <c r="O29" s="412" t="s">
        <v>3564</v>
      </c>
      <c r="P29" s="412" t="s">
        <v>3564</v>
      </c>
      <c r="Q29" s="403"/>
      <c r="R29" s="392"/>
      <c r="S29" s="95"/>
      <c r="W29" s="676" t="s">
        <v>2693</v>
      </c>
      <c r="X29" s="371">
        <v>8</v>
      </c>
      <c r="Y29" s="383"/>
      <c r="Z29" s="95" t="s">
        <v>3503</v>
      </c>
      <c r="AA29" s="98"/>
      <c r="AB29" s="98"/>
      <c r="AD29" s="95" t="str">
        <f>IF(COUNTBLANK(Table3!E8:N99)&gt;0,"No","Si")</f>
        <v>No</v>
      </c>
      <c r="AE29" s="99"/>
      <c r="AJ29" s="1"/>
    </row>
    <row r="30" spans="1:36" ht="22.5" customHeight="1" x14ac:dyDescent="0.25">
      <c r="A30" s="95"/>
      <c r="B30" s="390"/>
      <c r="C30" s="391" t="s">
        <v>1568</v>
      </c>
      <c r="D30" s="757" t="s">
        <v>3517</v>
      </c>
      <c r="E30" s="758"/>
      <c r="F30" s="758"/>
      <c r="G30" s="758"/>
      <c r="H30" s="455" t="s">
        <v>2607</v>
      </c>
      <c r="I30" s="412" t="s">
        <v>3564</v>
      </c>
      <c r="J30" s="412" t="s">
        <v>3564</v>
      </c>
      <c r="K30" s="412" t="s">
        <v>3564</v>
      </c>
      <c r="L30" s="412" t="s">
        <v>3564</v>
      </c>
      <c r="M30" s="412" t="s">
        <v>3564</v>
      </c>
      <c r="N30" s="412" t="s">
        <v>3564</v>
      </c>
      <c r="O30" s="412" t="s">
        <v>3564</v>
      </c>
      <c r="P30" s="412" t="s">
        <v>3564</v>
      </c>
      <c r="Q30" s="403"/>
      <c r="R30" s="392"/>
      <c r="S30" s="95"/>
      <c r="W30" s="676" t="s">
        <v>2694</v>
      </c>
      <c r="X30" s="371">
        <v>9</v>
      </c>
      <c r="Y30" s="383"/>
      <c r="Z30" s="95" t="s">
        <v>3504</v>
      </c>
      <c r="AA30" s="98"/>
      <c r="AB30" s="98"/>
      <c r="AD30" s="95" t="str">
        <f>IF(COUNTBLANK(Table4!E8:N37)&gt;0,"No","Si")</f>
        <v>Si</v>
      </c>
      <c r="AE30" s="99"/>
      <c r="AJ30" s="1"/>
    </row>
    <row r="31" spans="1:36" ht="13.5" customHeight="1" x14ac:dyDescent="0.25">
      <c r="A31" s="95"/>
      <c r="B31" s="390"/>
      <c r="C31" s="391" t="s">
        <v>1569</v>
      </c>
      <c r="D31" s="736" t="s">
        <v>3518</v>
      </c>
      <c r="E31" s="737"/>
      <c r="F31" s="737"/>
      <c r="G31" s="737"/>
      <c r="H31" s="454" t="s">
        <v>2607</v>
      </c>
      <c r="I31" s="412" t="s">
        <v>3564</v>
      </c>
      <c r="J31" s="412" t="s">
        <v>3564</v>
      </c>
      <c r="K31" s="412" t="s">
        <v>3564</v>
      </c>
      <c r="L31" s="412" t="s">
        <v>3564</v>
      </c>
      <c r="M31" s="412" t="s">
        <v>3564</v>
      </c>
      <c r="N31" s="412" t="s">
        <v>3564</v>
      </c>
      <c r="O31" s="412" t="s">
        <v>3564</v>
      </c>
      <c r="P31" s="412" t="s">
        <v>3564</v>
      </c>
      <c r="Q31" s="403"/>
      <c r="R31" s="392"/>
      <c r="S31" s="95"/>
      <c r="W31" s="676" t="s">
        <v>2695</v>
      </c>
      <c r="X31" s="371">
        <v>10</v>
      </c>
      <c r="Y31" s="383"/>
      <c r="Z31" s="95" t="s">
        <v>3505</v>
      </c>
      <c r="AA31" s="98"/>
      <c r="AB31" s="98"/>
      <c r="AD31" s="95" t="str">
        <f>IF(COUNTBLANK(Table5!E8:N37)&gt;0,"No","Si")</f>
        <v>Si</v>
      </c>
      <c r="AE31" s="99"/>
      <c r="AJ31" s="1"/>
    </row>
    <row r="32" spans="1:36" ht="13.5" customHeight="1" x14ac:dyDescent="0.25">
      <c r="A32" s="95"/>
      <c r="B32" s="390"/>
      <c r="C32" s="391" t="s">
        <v>1570</v>
      </c>
      <c r="D32" s="736" t="s">
        <v>3519</v>
      </c>
      <c r="E32" s="737"/>
      <c r="F32" s="737"/>
      <c r="G32" s="737"/>
      <c r="H32" s="454" t="s">
        <v>2609</v>
      </c>
      <c r="I32" s="412"/>
      <c r="J32" s="412"/>
      <c r="K32" s="412"/>
      <c r="L32" s="412"/>
      <c r="M32" s="412"/>
      <c r="N32" s="412"/>
      <c r="O32" s="412"/>
      <c r="P32" s="412"/>
      <c r="Q32" s="403"/>
      <c r="R32" s="392"/>
      <c r="S32" s="95"/>
      <c r="W32" s="676" t="s">
        <v>2696</v>
      </c>
      <c r="X32" s="371">
        <v>11</v>
      </c>
      <c r="Y32" s="383"/>
      <c r="Z32" s="95" t="s">
        <v>3506</v>
      </c>
      <c r="AA32" s="98"/>
      <c r="AB32" s="98"/>
      <c r="AD32" s="95" t="str">
        <f>IF(COUNTBLANK(Table6!E8:N112)&gt;0,"No","Si")</f>
        <v>No</v>
      </c>
      <c r="AE32" s="99"/>
      <c r="AJ32" s="1"/>
    </row>
    <row r="33" spans="1:36" ht="13.5" customHeight="1" x14ac:dyDescent="0.25">
      <c r="A33" s="95"/>
      <c r="B33" s="390"/>
      <c r="C33" s="391" t="s">
        <v>1571</v>
      </c>
      <c r="D33" s="736" t="s">
        <v>3520</v>
      </c>
      <c r="E33" s="737"/>
      <c r="F33" s="737"/>
      <c r="G33" s="737"/>
      <c r="H33" s="454" t="s">
        <v>1452</v>
      </c>
      <c r="I33" s="412"/>
      <c r="J33" s="412"/>
      <c r="K33" s="412"/>
      <c r="L33" s="412"/>
      <c r="M33" s="412"/>
      <c r="N33" s="412"/>
      <c r="O33" s="412"/>
      <c r="P33" s="412"/>
      <c r="Q33" s="403"/>
      <c r="R33" s="392"/>
      <c r="S33" s="95"/>
      <c r="W33" s="676" t="s">
        <v>2697</v>
      </c>
      <c r="X33" s="371">
        <v>12</v>
      </c>
      <c r="Y33" s="383"/>
      <c r="Z33" s="95" t="s">
        <v>3511</v>
      </c>
      <c r="AA33" s="98"/>
      <c r="AB33" s="98"/>
      <c r="AD33" s="95" t="str">
        <f>IF(COUNTBLANK(Table6A!E8:N83)&gt;0,"No","Si")</f>
        <v>No</v>
      </c>
      <c r="AE33" s="99"/>
      <c r="AJ33" s="1"/>
    </row>
    <row r="34" spans="1:36" ht="13.5" customHeight="1" x14ac:dyDescent="0.25">
      <c r="A34" s="95"/>
      <c r="B34" s="390"/>
      <c r="C34" s="391" t="s">
        <v>1572</v>
      </c>
      <c r="D34" s="736" t="s">
        <v>3521</v>
      </c>
      <c r="E34" s="737"/>
      <c r="F34" s="737"/>
      <c r="G34" s="737"/>
      <c r="H34" s="454" t="s">
        <v>1453</v>
      </c>
      <c r="I34" s="412"/>
      <c r="J34" s="412"/>
      <c r="K34" s="412"/>
      <c r="L34" s="412"/>
      <c r="M34" s="412"/>
      <c r="N34" s="412"/>
      <c r="O34" s="412"/>
      <c r="P34" s="412"/>
      <c r="Q34" s="403"/>
      <c r="R34" s="392"/>
      <c r="S34" s="95"/>
      <c r="W34" s="367"/>
      <c r="X34" s="371">
        <v>13</v>
      </c>
      <c r="Y34" s="383"/>
      <c r="Z34" s="95" t="s">
        <v>3511</v>
      </c>
      <c r="AA34" s="98"/>
      <c r="AB34" s="98"/>
      <c r="AD34" s="95" t="str">
        <f>IF(COUNTBLANK(Table6B!E8:N71)&gt;0,"No","Si")</f>
        <v>No</v>
      </c>
      <c r="AE34" s="99"/>
      <c r="AJ34" s="1"/>
    </row>
    <row r="35" spans="1:36" ht="13.5" customHeight="1" x14ac:dyDescent="0.25">
      <c r="A35" s="95"/>
      <c r="B35" s="390"/>
      <c r="C35" s="391" t="s">
        <v>1573</v>
      </c>
      <c r="D35" s="738" t="s">
        <v>3522</v>
      </c>
      <c r="E35" s="739"/>
      <c r="F35" s="739"/>
      <c r="G35" s="739"/>
      <c r="H35" s="456" t="s">
        <v>1453</v>
      </c>
      <c r="I35" s="412"/>
      <c r="J35" s="412"/>
      <c r="K35" s="412"/>
      <c r="L35" s="412"/>
      <c r="M35" s="412"/>
      <c r="N35" s="412"/>
      <c r="O35" s="412"/>
      <c r="P35" s="412"/>
      <c r="Q35" s="403"/>
      <c r="R35" s="392"/>
      <c r="S35" s="95"/>
      <c r="W35" s="367"/>
      <c r="X35" s="371">
        <v>14</v>
      </c>
      <c r="Y35" s="383"/>
      <c r="Z35" s="95" t="s">
        <v>3507</v>
      </c>
      <c r="AA35" s="98"/>
      <c r="AB35" s="98"/>
      <c r="AD35" s="95" t="str">
        <f>IF(COUNTBLANK(Table7!E8:N87)&gt;0,"No","Si")</f>
        <v>No</v>
      </c>
      <c r="AE35" s="99"/>
      <c r="AJ35" s="1"/>
    </row>
    <row r="36" spans="1:36" ht="13.5" customHeight="1" x14ac:dyDescent="0.3">
      <c r="A36" s="95"/>
      <c r="B36" s="390"/>
      <c r="C36" s="391"/>
      <c r="D36" s="391"/>
      <c r="E36" s="391"/>
      <c r="F36" s="403"/>
      <c r="G36" s="403"/>
      <c r="H36" s="404"/>
      <c r="I36" s="395"/>
      <c r="J36" s="400"/>
      <c r="K36" s="391"/>
      <c r="L36" s="391"/>
      <c r="M36" s="391"/>
      <c r="N36" s="391"/>
      <c r="O36" s="391"/>
      <c r="P36" s="391"/>
      <c r="Q36" s="391"/>
      <c r="R36" s="392"/>
      <c r="S36" s="95"/>
      <c r="W36" s="367"/>
      <c r="X36" s="371">
        <v>15</v>
      </c>
      <c r="Y36" s="383"/>
      <c r="Z36" s="95" t="s">
        <v>3510</v>
      </c>
      <c r="AA36" s="98"/>
      <c r="AB36" s="98"/>
      <c r="AD36" s="95" t="str">
        <f>IF(COUNTBLANK(Table8A!E8:N45)&gt;0,"No","Si")</f>
        <v>No</v>
      </c>
      <c r="AE36" s="99"/>
      <c r="AJ36" s="1"/>
    </row>
    <row r="37" spans="1:36" ht="13.5" customHeight="1" x14ac:dyDescent="0.3">
      <c r="A37" s="95"/>
      <c r="B37" s="405"/>
      <c r="C37" s="406"/>
      <c r="D37" s="407"/>
      <c r="E37" s="391"/>
      <c r="F37" s="403"/>
      <c r="G37" s="407"/>
      <c r="H37" s="469" t="s">
        <v>2725</v>
      </c>
      <c r="I37" s="407"/>
      <c r="J37" s="400"/>
      <c r="K37" s="391"/>
      <c r="L37" s="391"/>
      <c r="M37" s="391"/>
      <c r="N37" s="391"/>
      <c r="O37" s="391"/>
      <c r="P37" s="391"/>
      <c r="Q37" s="408"/>
      <c r="R37" s="392"/>
      <c r="S37" s="95"/>
      <c r="W37" s="367"/>
      <c r="X37" s="371">
        <v>16</v>
      </c>
      <c r="Y37" s="383"/>
      <c r="Z37" s="95" t="s">
        <v>3509</v>
      </c>
      <c r="AA37" s="98"/>
      <c r="AB37" s="98"/>
      <c r="AC37" s="1"/>
      <c r="AD37" s="95" t="str">
        <f>IF(COUNTBLANK(Table8B!E8:N45)&gt;0,"No","Si")</f>
        <v>No</v>
      </c>
      <c r="AE37" s="99"/>
      <c r="AJ37" s="1"/>
    </row>
    <row r="38" spans="1:36" ht="13.5" customHeight="1" x14ac:dyDescent="0.3">
      <c r="A38" s="95"/>
      <c r="B38" s="405"/>
      <c r="C38" s="406"/>
      <c r="D38" s="407"/>
      <c r="E38" s="391"/>
      <c r="F38" s="403"/>
      <c r="G38" s="407"/>
      <c r="H38" s="407"/>
      <c r="I38" s="407"/>
      <c r="J38" s="400"/>
      <c r="K38" s="391"/>
      <c r="L38" s="391"/>
      <c r="M38" s="391"/>
      <c r="N38" s="391"/>
      <c r="O38" s="391"/>
      <c r="P38" s="391"/>
      <c r="Q38" s="408"/>
      <c r="R38" s="392"/>
      <c r="S38" s="95"/>
      <c r="W38" s="367"/>
      <c r="X38" s="371">
        <v>17</v>
      </c>
      <c r="Y38" s="383"/>
      <c r="Z38" s="95" t="s">
        <v>3508</v>
      </c>
      <c r="AA38" s="98"/>
      <c r="AB38" s="98"/>
      <c r="AC38" s="1"/>
      <c r="AD38" s="95" t="str">
        <f>IF(COUNTBLANK(Table9!E8:N37)&gt;0,"No","Si")</f>
        <v>Si</v>
      </c>
      <c r="AE38" s="99"/>
      <c r="AJ38" s="1"/>
    </row>
    <row r="39" spans="1:36" ht="13.5" customHeight="1" x14ac:dyDescent="0.3">
      <c r="A39" s="95"/>
      <c r="B39" s="405"/>
      <c r="C39" s="406"/>
      <c r="D39" s="407"/>
      <c r="E39" s="391"/>
      <c r="F39" s="403"/>
      <c r="G39" s="407"/>
      <c r="H39" s="407"/>
      <c r="I39" s="407"/>
      <c r="J39" s="400"/>
      <c r="K39" s="391"/>
      <c r="L39" s="391"/>
      <c r="M39" s="391"/>
      <c r="N39" s="391"/>
      <c r="O39" s="391"/>
      <c r="P39" s="391"/>
      <c r="Q39" s="408"/>
      <c r="R39" s="392"/>
      <c r="S39" s="95"/>
      <c r="W39" s="367"/>
      <c r="X39" s="371">
        <v>18</v>
      </c>
      <c r="Y39" s="383"/>
      <c r="Z39" s="1"/>
      <c r="AA39" s="98"/>
      <c r="AB39" s="98"/>
      <c r="AC39" s="98"/>
      <c r="AD39" s="98"/>
      <c r="AE39" s="99"/>
    </row>
    <row r="40" spans="1:36" ht="13.5" customHeight="1" x14ac:dyDescent="0.25">
      <c r="A40" s="95"/>
      <c r="B40" s="409"/>
      <c r="C40" s="410"/>
      <c r="D40" s="410"/>
      <c r="E40" s="410"/>
      <c r="F40" s="410"/>
      <c r="G40" s="410"/>
      <c r="H40" s="410"/>
      <c r="I40" s="410"/>
      <c r="J40" s="410"/>
      <c r="K40" s="410"/>
      <c r="L40" s="410"/>
      <c r="M40" s="410"/>
      <c r="N40" s="410"/>
      <c r="O40" s="410"/>
      <c r="P40" s="410"/>
      <c r="Q40" s="410"/>
      <c r="R40" s="411"/>
      <c r="S40" s="95"/>
      <c r="W40" s="367"/>
      <c r="X40" s="371">
        <v>19</v>
      </c>
      <c r="Y40" s="384"/>
      <c r="Z40" s="100"/>
      <c r="AA40" s="100"/>
      <c r="AB40" s="100"/>
      <c r="AC40" s="100"/>
      <c r="AD40" s="100"/>
      <c r="AE40" s="101"/>
    </row>
    <row r="41" spans="1:36" ht="15" x14ac:dyDescent="0.25">
      <c r="A41" s="95"/>
      <c r="B41" s="95"/>
      <c r="C41" s="95"/>
      <c r="D41" s="95"/>
      <c r="E41" s="95"/>
      <c r="F41" s="95"/>
      <c r="G41" s="95"/>
      <c r="H41" s="95"/>
      <c r="I41" s="95"/>
      <c r="J41" s="95"/>
      <c r="K41" s="95"/>
      <c r="L41" s="95"/>
      <c r="M41" s="95"/>
      <c r="N41" s="95"/>
      <c r="O41" s="95"/>
      <c r="P41" s="95"/>
      <c r="Q41" s="95"/>
      <c r="R41" s="95"/>
      <c r="S41" s="95"/>
      <c r="W41" s="370" t="s">
        <v>2606</v>
      </c>
      <c r="X41" s="371">
        <v>20</v>
      </c>
    </row>
    <row r="42" spans="1:36" ht="15" x14ac:dyDescent="0.25">
      <c r="A42" s="95"/>
      <c r="B42" s="95"/>
      <c r="C42" s="95"/>
      <c r="D42" s="95"/>
      <c r="E42" s="95"/>
      <c r="F42" s="95"/>
      <c r="G42" s="95"/>
      <c r="H42" s="95"/>
      <c r="I42" s="95"/>
      <c r="J42" s="95"/>
      <c r="K42" s="95"/>
      <c r="L42" s="95"/>
      <c r="M42" s="95"/>
      <c r="N42" s="95"/>
      <c r="O42" s="95"/>
      <c r="P42" s="95"/>
      <c r="Q42" s="95"/>
      <c r="R42" s="95"/>
      <c r="S42" s="95"/>
      <c r="W42" s="367"/>
      <c r="X42" s="371">
        <v>21</v>
      </c>
    </row>
    <row r="43" spans="1:36" ht="15" x14ac:dyDescent="0.25">
      <c r="A43" s="95"/>
      <c r="B43" s="95"/>
      <c r="C43" s="95"/>
      <c r="D43" s="95"/>
      <c r="E43" s="95"/>
      <c r="F43" s="95"/>
      <c r="G43" s="95"/>
      <c r="H43" s="95"/>
      <c r="I43" s="95"/>
      <c r="J43" s="95"/>
      <c r="K43" s="95"/>
      <c r="L43" s="95"/>
      <c r="M43" s="95"/>
      <c r="N43" s="95"/>
      <c r="O43" s="95"/>
      <c r="P43" s="95"/>
      <c r="Q43" s="95"/>
      <c r="R43" s="95"/>
      <c r="S43" s="95"/>
      <c r="W43" s="367" t="s">
        <v>2455</v>
      </c>
      <c r="X43" s="371">
        <v>22</v>
      </c>
    </row>
    <row r="44" spans="1:36" ht="15" x14ac:dyDescent="0.25">
      <c r="W44" s="367" t="s">
        <v>2456</v>
      </c>
      <c r="X44" s="371">
        <v>23</v>
      </c>
    </row>
    <row r="45" spans="1:36" ht="15" x14ac:dyDescent="0.25">
      <c r="W45" s="367" t="s">
        <v>2457</v>
      </c>
      <c r="X45" s="371">
        <v>24</v>
      </c>
    </row>
    <row r="46" spans="1:36" ht="15" x14ac:dyDescent="0.25">
      <c r="W46" s="367" t="s">
        <v>2458</v>
      </c>
      <c r="X46" s="371">
        <v>25</v>
      </c>
    </row>
    <row r="47" spans="1:36" ht="15" x14ac:dyDescent="0.25">
      <c r="W47" s="367" t="s">
        <v>2459</v>
      </c>
      <c r="X47" s="371">
        <v>26</v>
      </c>
    </row>
    <row r="48" spans="1:36" ht="15" x14ac:dyDescent="0.25">
      <c r="W48" s="367" t="s">
        <v>2460</v>
      </c>
      <c r="X48" s="371">
        <v>27</v>
      </c>
    </row>
    <row r="49" spans="23:24" ht="15" x14ac:dyDescent="0.25">
      <c r="W49" s="367" t="s">
        <v>2461</v>
      </c>
      <c r="X49" s="371">
        <v>28</v>
      </c>
    </row>
    <row r="50" spans="23:24" ht="15" x14ac:dyDescent="0.25">
      <c r="W50" s="367" t="s">
        <v>2462</v>
      </c>
      <c r="X50" s="371">
        <v>29</v>
      </c>
    </row>
    <row r="51" spans="23:24" ht="15" x14ac:dyDescent="0.25">
      <c r="W51" s="367" t="s">
        <v>2463</v>
      </c>
      <c r="X51" s="371">
        <v>30</v>
      </c>
    </row>
    <row r="52" spans="23:24" ht="15" x14ac:dyDescent="0.25">
      <c r="W52" s="367" t="s">
        <v>2464</v>
      </c>
      <c r="X52" s="371">
        <v>31</v>
      </c>
    </row>
    <row r="53" spans="23:24" ht="15" x14ac:dyDescent="0.25">
      <c r="W53" s="367" t="s">
        <v>2465</v>
      </c>
    </row>
    <row r="54" spans="23:24" ht="15" x14ac:dyDescent="0.25">
      <c r="W54" s="367" t="s">
        <v>2466</v>
      </c>
    </row>
    <row r="55" spans="23:24" ht="15" x14ac:dyDescent="0.25">
      <c r="W55" s="367" t="s">
        <v>2467</v>
      </c>
      <c r="X55" s="369"/>
    </row>
    <row r="56" spans="23:24" ht="15" x14ac:dyDescent="0.25">
      <c r="W56" s="367" t="s">
        <v>3553</v>
      </c>
      <c r="X56" s="369"/>
    </row>
    <row r="57" spans="23:24" ht="15" x14ac:dyDescent="0.25">
      <c r="W57" s="367" t="s">
        <v>3554</v>
      </c>
      <c r="X57" s="369"/>
    </row>
    <row r="58" spans="23:24" ht="15" x14ac:dyDescent="0.25">
      <c r="W58" s="367" t="s">
        <v>2468</v>
      </c>
      <c r="X58" s="369"/>
    </row>
    <row r="59" spans="23:24" ht="15" x14ac:dyDescent="0.25">
      <c r="W59" s="367" t="s">
        <v>2469</v>
      </c>
      <c r="X59" s="369"/>
    </row>
    <row r="60" spans="23:24" ht="15" x14ac:dyDescent="0.25">
      <c r="W60" s="367" t="s">
        <v>2470</v>
      </c>
      <c r="X60" s="369"/>
    </row>
    <row r="61" spans="23:24" ht="15" x14ac:dyDescent="0.25">
      <c r="W61" s="367" t="s">
        <v>2471</v>
      </c>
      <c r="X61" s="369"/>
    </row>
    <row r="62" spans="23:24" ht="15" x14ac:dyDescent="0.25">
      <c r="W62" s="367" t="s">
        <v>2472</v>
      </c>
      <c r="X62" s="369"/>
    </row>
    <row r="63" spans="23:24" ht="15" x14ac:dyDescent="0.25">
      <c r="W63" s="367" t="s">
        <v>2473</v>
      </c>
      <c r="X63" s="369"/>
    </row>
    <row r="64" spans="23:24" ht="15" x14ac:dyDescent="0.25">
      <c r="W64" s="367" t="s">
        <v>2474</v>
      </c>
      <c r="X64" s="369"/>
    </row>
    <row r="65" spans="23:24" ht="15" x14ac:dyDescent="0.25">
      <c r="W65" s="367" t="s">
        <v>2475</v>
      </c>
      <c r="X65" s="369"/>
    </row>
    <row r="66" spans="23:24" ht="15" x14ac:dyDescent="0.25">
      <c r="W66" s="367" t="s">
        <v>2476</v>
      </c>
      <c r="X66" s="369"/>
    </row>
    <row r="67" spans="23:24" ht="15" x14ac:dyDescent="0.25">
      <c r="W67" s="367" t="s">
        <v>2477</v>
      </c>
      <c r="X67" s="369"/>
    </row>
    <row r="68" spans="23:24" ht="15" x14ac:dyDescent="0.25">
      <c r="W68" s="367" t="s">
        <v>2478</v>
      </c>
      <c r="X68" s="369"/>
    </row>
    <row r="69" spans="23:24" ht="15" x14ac:dyDescent="0.25">
      <c r="W69" s="367" t="s">
        <v>2479</v>
      </c>
      <c r="X69" s="369"/>
    </row>
    <row r="70" spans="23:24" ht="15" x14ac:dyDescent="0.25">
      <c r="W70" s="367" t="s">
        <v>2480</v>
      </c>
      <c r="X70" s="369"/>
    </row>
    <row r="71" spans="23:24" ht="15" x14ac:dyDescent="0.25">
      <c r="W71" s="367" t="s">
        <v>2481</v>
      </c>
      <c r="X71" s="369"/>
    </row>
    <row r="72" spans="23:24" ht="15" x14ac:dyDescent="0.25">
      <c r="W72" s="367" t="s">
        <v>2482</v>
      </c>
      <c r="X72" s="369"/>
    </row>
    <row r="73" spans="23:24" ht="15" x14ac:dyDescent="0.25">
      <c r="W73" s="367" t="s">
        <v>2483</v>
      </c>
      <c r="X73" s="369"/>
    </row>
    <row r="74" spans="23:24" ht="15" x14ac:dyDescent="0.25">
      <c r="W74" s="367" t="s">
        <v>2484</v>
      </c>
      <c r="X74" s="369"/>
    </row>
    <row r="75" spans="23:24" ht="15" x14ac:dyDescent="0.25">
      <c r="W75" s="367" t="s">
        <v>2485</v>
      </c>
      <c r="X75" s="369"/>
    </row>
    <row r="76" spans="23:24" ht="15" x14ac:dyDescent="0.25">
      <c r="W76" s="367" t="s">
        <v>2486</v>
      </c>
      <c r="X76" s="369"/>
    </row>
    <row r="77" spans="23:24" ht="15" x14ac:dyDescent="0.25">
      <c r="W77" s="367" t="s">
        <v>2487</v>
      </c>
      <c r="X77" s="369"/>
    </row>
    <row r="78" spans="23:24" ht="15" x14ac:dyDescent="0.25">
      <c r="W78" s="367" t="s">
        <v>2488</v>
      </c>
      <c r="X78" s="369"/>
    </row>
    <row r="79" spans="23:24" ht="15" x14ac:dyDescent="0.25">
      <c r="W79" s="367" t="s">
        <v>2489</v>
      </c>
      <c r="X79" s="369"/>
    </row>
    <row r="80" spans="23:24" ht="15" x14ac:dyDescent="0.25">
      <c r="W80" s="367" t="s">
        <v>2490</v>
      </c>
      <c r="X80" s="369"/>
    </row>
    <row r="81" spans="23:24" ht="15" x14ac:dyDescent="0.25">
      <c r="W81" s="367" t="s">
        <v>2491</v>
      </c>
      <c r="X81" s="369"/>
    </row>
    <row r="82" spans="23:24" ht="15" x14ac:dyDescent="0.25">
      <c r="W82" s="367" t="s">
        <v>2492</v>
      </c>
      <c r="X82" s="369"/>
    </row>
    <row r="83" spans="23:24" ht="15" x14ac:dyDescent="0.25">
      <c r="W83" s="367" t="s">
        <v>2493</v>
      </c>
      <c r="X83" s="369"/>
    </row>
    <row r="84" spans="23:24" ht="15" x14ac:dyDescent="0.25">
      <c r="W84" s="367" t="s">
        <v>2494</v>
      </c>
      <c r="X84" s="369"/>
    </row>
    <row r="85" spans="23:24" ht="15" x14ac:dyDescent="0.25">
      <c r="W85" s="367" t="s">
        <v>2495</v>
      </c>
      <c r="X85" s="369"/>
    </row>
    <row r="86" spans="23:24" ht="15" x14ac:dyDescent="0.25">
      <c r="W86" s="367" t="s">
        <v>2496</v>
      </c>
      <c r="X86" s="369"/>
    </row>
    <row r="87" spans="23:24" ht="15" x14ac:dyDescent="0.25">
      <c r="W87" s="367" t="s">
        <v>2497</v>
      </c>
      <c r="X87" s="369"/>
    </row>
    <row r="88" spans="23:24" ht="15" x14ac:dyDescent="0.25">
      <c r="W88" s="367" t="s">
        <v>2498</v>
      </c>
      <c r="X88" s="369"/>
    </row>
    <row r="89" spans="23:24" ht="15" x14ac:dyDescent="0.25">
      <c r="W89" s="367" t="s">
        <v>2499</v>
      </c>
      <c r="X89" s="369"/>
    </row>
    <row r="90" spans="23:24" ht="15" x14ac:dyDescent="0.25">
      <c r="W90" s="367" t="s">
        <v>2500</v>
      </c>
      <c r="X90" s="369"/>
    </row>
    <row r="91" spans="23:24" ht="15" x14ac:dyDescent="0.25">
      <c r="W91" s="367" t="s">
        <v>2501</v>
      </c>
      <c r="X91" s="369"/>
    </row>
    <row r="92" spans="23:24" ht="15" x14ac:dyDescent="0.25">
      <c r="W92" s="367" t="s">
        <v>2502</v>
      </c>
      <c r="X92" s="369"/>
    </row>
    <row r="93" spans="23:24" ht="15" x14ac:dyDescent="0.25">
      <c r="W93" s="367" t="s">
        <v>2503</v>
      </c>
      <c r="X93" s="369"/>
    </row>
    <row r="94" spans="23:24" ht="15" x14ac:dyDescent="0.25">
      <c r="W94" s="367" t="s">
        <v>2504</v>
      </c>
      <c r="X94" s="369"/>
    </row>
    <row r="95" spans="23:24" ht="15" x14ac:dyDescent="0.25">
      <c r="W95" s="367" t="s">
        <v>2505</v>
      </c>
      <c r="X95" s="369"/>
    </row>
    <row r="96" spans="23:24" ht="15" x14ac:dyDescent="0.25">
      <c r="W96" s="367" t="s">
        <v>2506</v>
      </c>
      <c r="X96" s="369"/>
    </row>
    <row r="97" spans="23:24" ht="15" x14ac:dyDescent="0.25">
      <c r="W97" s="367" t="s">
        <v>2507</v>
      </c>
      <c r="X97" s="369"/>
    </row>
    <row r="98" spans="23:24" ht="15" x14ac:dyDescent="0.25">
      <c r="W98" s="367" t="s">
        <v>2508</v>
      </c>
      <c r="X98" s="369"/>
    </row>
    <row r="99" spans="23:24" ht="15" x14ac:dyDescent="0.25">
      <c r="W99" s="367" t="s">
        <v>2509</v>
      </c>
      <c r="X99" s="369"/>
    </row>
    <row r="100" spans="23:24" ht="15" x14ac:dyDescent="0.25">
      <c r="W100" s="367" t="s">
        <v>2510</v>
      </c>
      <c r="X100" s="369"/>
    </row>
    <row r="101" spans="23:24" ht="15" x14ac:dyDescent="0.25">
      <c r="W101" s="367" t="s">
        <v>2511</v>
      </c>
      <c r="X101" s="369"/>
    </row>
    <row r="102" spans="23:24" ht="15" x14ac:dyDescent="0.25">
      <c r="W102" s="367" t="s">
        <v>2512</v>
      </c>
      <c r="X102" s="369"/>
    </row>
    <row r="103" spans="23:24" ht="15" x14ac:dyDescent="0.25">
      <c r="W103" s="367" t="s">
        <v>2513</v>
      </c>
      <c r="X103" s="369"/>
    </row>
    <row r="104" spans="23:24" ht="15" x14ac:dyDescent="0.25">
      <c r="W104" s="367" t="s">
        <v>2514</v>
      </c>
      <c r="X104" s="369"/>
    </row>
    <row r="105" spans="23:24" ht="15" x14ac:dyDescent="0.25">
      <c r="W105" s="367" t="s">
        <v>2611</v>
      </c>
      <c r="X105" s="369"/>
    </row>
    <row r="106" spans="23:24" ht="15" x14ac:dyDescent="0.25">
      <c r="W106" s="367" t="s">
        <v>2515</v>
      </c>
      <c r="X106" s="369"/>
    </row>
    <row r="107" spans="23:24" ht="15" x14ac:dyDescent="0.25">
      <c r="W107" s="367" t="s">
        <v>2516</v>
      </c>
      <c r="X107" s="369"/>
    </row>
    <row r="108" spans="23:24" ht="15" x14ac:dyDescent="0.25">
      <c r="W108" s="367" t="s">
        <v>2517</v>
      </c>
      <c r="X108" s="369"/>
    </row>
    <row r="109" spans="23:24" ht="15" x14ac:dyDescent="0.25">
      <c r="W109" s="367" t="s">
        <v>2518</v>
      </c>
      <c r="X109" s="369"/>
    </row>
    <row r="110" spans="23:24" ht="15" x14ac:dyDescent="0.25">
      <c r="W110" s="367" t="s">
        <v>2519</v>
      </c>
      <c r="X110" s="369"/>
    </row>
    <row r="111" spans="23:24" ht="15" x14ac:dyDescent="0.25">
      <c r="W111" s="367" t="s">
        <v>2520</v>
      </c>
      <c r="X111" s="369"/>
    </row>
    <row r="112" spans="23:24" ht="15" x14ac:dyDescent="0.25">
      <c r="W112" s="367" t="s">
        <v>2521</v>
      </c>
      <c r="X112" s="369"/>
    </row>
    <row r="113" spans="23:24" ht="15" x14ac:dyDescent="0.25">
      <c r="W113" s="367" t="s">
        <v>2522</v>
      </c>
      <c r="X113" s="369"/>
    </row>
    <row r="114" spans="23:24" ht="15" x14ac:dyDescent="0.25">
      <c r="W114" s="367" t="s">
        <v>2523</v>
      </c>
      <c r="X114" s="369"/>
    </row>
    <row r="115" spans="23:24" ht="15" x14ac:dyDescent="0.25">
      <c r="W115" s="367" t="s">
        <v>2524</v>
      </c>
      <c r="X115" s="369"/>
    </row>
    <row r="116" spans="23:24" ht="15" x14ac:dyDescent="0.25">
      <c r="W116" s="367" t="s">
        <v>2525</v>
      </c>
      <c r="X116" s="369"/>
    </row>
    <row r="117" spans="23:24" ht="15" x14ac:dyDescent="0.25">
      <c r="W117" s="367" t="s">
        <v>2526</v>
      </c>
      <c r="X117" s="369"/>
    </row>
    <row r="118" spans="23:24" ht="15" x14ac:dyDescent="0.25">
      <c r="W118" s="367" t="s">
        <v>2527</v>
      </c>
      <c r="X118" s="369"/>
    </row>
    <row r="119" spans="23:24" ht="15" x14ac:dyDescent="0.25">
      <c r="W119" s="367" t="s">
        <v>2528</v>
      </c>
      <c r="X119" s="369"/>
    </row>
    <row r="120" spans="23:24" ht="15" x14ac:dyDescent="0.25">
      <c r="W120" s="367" t="s">
        <v>2529</v>
      </c>
      <c r="X120" s="369"/>
    </row>
    <row r="121" spans="23:24" ht="15" x14ac:dyDescent="0.25">
      <c r="W121" s="367" t="s">
        <v>2530</v>
      </c>
      <c r="X121" s="369"/>
    </row>
    <row r="122" spans="23:24" ht="15" x14ac:dyDescent="0.25">
      <c r="W122" s="367" t="s">
        <v>2531</v>
      </c>
      <c r="X122" s="369"/>
    </row>
    <row r="123" spans="23:24" ht="15" x14ac:dyDescent="0.25">
      <c r="W123" s="367" t="s">
        <v>2532</v>
      </c>
      <c r="X123" s="369"/>
    </row>
    <row r="124" spans="23:24" ht="15" x14ac:dyDescent="0.25">
      <c r="W124" s="367" t="s">
        <v>2533</v>
      </c>
      <c r="X124" s="369"/>
    </row>
    <row r="125" spans="23:24" ht="15" x14ac:dyDescent="0.25">
      <c r="W125" s="367" t="s">
        <v>2534</v>
      </c>
      <c r="X125" s="369"/>
    </row>
    <row r="126" spans="23:24" ht="15" x14ac:dyDescent="0.25">
      <c r="W126" s="367" t="s">
        <v>2535</v>
      </c>
      <c r="X126" s="369"/>
    </row>
    <row r="127" spans="23:24" ht="15" x14ac:dyDescent="0.25">
      <c r="W127" s="367" t="s">
        <v>2536</v>
      </c>
      <c r="X127" s="369"/>
    </row>
    <row r="128" spans="23:24" ht="15" x14ac:dyDescent="0.25">
      <c r="W128" s="367" t="s">
        <v>2537</v>
      </c>
      <c r="X128" s="369"/>
    </row>
    <row r="129" spans="23:24" ht="15" x14ac:dyDescent="0.25">
      <c r="W129" s="367" t="s">
        <v>2538</v>
      </c>
      <c r="X129" s="369"/>
    </row>
    <row r="130" spans="23:24" ht="15" x14ac:dyDescent="0.25">
      <c r="W130" s="367" t="s">
        <v>2539</v>
      </c>
      <c r="X130" s="369"/>
    </row>
    <row r="131" spans="23:24" ht="15" x14ac:dyDescent="0.25">
      <c r="W131" s="367" t="s">
        <v>2540</v>
      </c>
      <c r="X131" s="369"/>
    </row>
    <row r="132" spans="23:24" ht="15" x14ac:dyDescent="0.25">
      <c r="W132" s="367" t="s">
        <v>2541</v>
      </c>
      <c r="X132" s="369"/>
    </row>
    <row r="133" spans="23:24" ht="15" x14ac:dyDescent="0.25">
      <c r="W133" s="367" t="s">
        <v>2542</v>
      </c>
      <c r="X133" s="369"/>
    </row>
    <row r="134" spans="23:24" ht="15" x14ac:dyDescent="0.25">
      <c r="W134" s="367" t="s">
        <v>2543</v>
      </c>
      <c r="X134" s="369"/>
    </row>
    <row r="135" spans="23:24" ht="15" x14ac:dyDescent="0.25">
      <c r="W135" s="367" t="s">
        <v>2544</v>
      </c>
      <c r="X135" s="369"/>
    </row>
    <row r="136" spans="23:24" ht="15" x14ac:dyDescent="0.25">
      <c r="W136" s="367" t="s">
        <v>2545</v>
      </c>
      <c r="X136" s="369"/>
    </row>
    <row r="137" spans="23:24" ht="15" x14ac:dyDescent="0.25">
      <c r="W137" s="367" t="s">
        <v>2546</v>
      </c>
      <c r="X137" s="369"/>
    </row>
    <row r="138" spans="23:24" ht="15" x14ac:dyDescent="0.25">
      <c r="W138" s="367" t="s">
        <v>2547</v>
      </c>
      <c r="X138" s="369"/>
    </row>
    <row r="139" spans="23:24" ht="15" x14ac:dyDescent="0.25">
      <c r="W139" s="367" t="s">
        <v>2548</v>
      </c>
      <c r="X139" s="369"/>
    </row>
    <row r="140" spans="23:24" ht="15" x14ac:dyDescent="0.25">
      <c r="W140" s="367" t="s">
        <v>2549</v>
      </c>
      <c r="X140" s="369"/>
    </row>
    <row r="141" spans="23:24" ht="15" x14ac:dyDescent="0.25">
      <c r="W141" s="367" t="s">
        <v>2550</v>
      </c>
      <c r="X141" s="369"/>
    </row>
    <row r="142" spans="23:24" ht="15" x14ac:dyDescent="0.25">
      <c r="W142" s="367" t="s">
        <v>2551</v>
      </c>
      <c r="X142" s="369"/>
    </row>
    <row r="143" spans="23:24" ht="15" x14ac:dyDescent="0.25">
      <c r="W143" s="367" t="s">
        <v>2552</v>
      </c>
      <c r="X143" s="369"/>
    </row>
    <row r="144" spans="23:24" ht="15" x14ac:dyDescent="0.25">
      <c r="W144" s="367" t="s">
        <v>2553</v>
      </c>
      <c r="X144" s="369"/>
    </row>
    <row r="145" spans="23:24" ht="15" x14ac:dyDescent="0.25">
      <c r="W145" s="367" t="s">
        <v>2612</v>
      </c>
      <c r="X145" s="369"/>
    </row>
    <row r="146" spans="23:24" ht="15" x14ac:dyDescent="0.25">
      <c r="W146" s="367" t="s">
        <v>2554</v>
      </c>
      <c r="X146" s="369"/>
    </row>
    <row r="147" spans="23:24" ht="15" x14ac:dyDescent="0.25">
      <c r="W147" s="367" t="s">
        <v>2555</v>
      </c>
      <c r="X147" s="369"/>
    </row>
    <row r="148" spans="23:24" ht="15" x14ac:dyDescent="0.25">
      <c r="W148" s="367" t="s">
        <v>2556</v>
      </c>
      <c r="X148" s="369"/>
    </row>
    <row r="149" spans="23:24" ht="15" x14ac:dyDescent="0.25">
      <c r="W149" s="367" t="s">
        <v>2557</v>
      </c>
      <c r="X149" s="369"/>
    </row>
    <row r="150" spans="23:24" ht="15" x14ac:dyDescent="0.25">
      <c r="W150" s="367" t="s">
        <v>2558</v>
      </c>
      <c r="X150" s="369"/>
    </row>
    <row r="151" spans="23:24" ht="15" x14ac:dyDescent="0.25">
      <c r="W151" s="367" t="s">
        <v>2613</v>
      </c>
      <c r="X151" s="369"/>
    </row>
    <row r="152" spans="23:24" ht="15" x14ac:dyDescent="0.25">
      <c r="W152" s="367" t="s">
        <v>2559</v>
      </c>
      <c r="X152" s="369"/>
    </row>
    <row r="153" spans="23:24" ht="15" x14ac:dyDescent="0.25">
      <c r="W153" s="367" t="s">
        <v>2560</v>
      </c>
      <c r="X153" s="369"/>
    </row>
    <row r="154" spans="23:24" ht="15" x14ac:dyDescent="0.25">
      <c r="W154" s="367" t="s">
        <v>2561</v>
      </c>
      <c r="X154" s="369"/>
    </row>
    <row r="155" spans="23:24" ht="15" x14ac:dyDescent="0.25">
      <c r="W155" s="367" t="s">
        <v>2562</v>
      </c>
      <c r="X155" s="369"/>
    </row>
    <row r="156" spans="23:24" ht="15" x14ac:dyDescent="0.25">
      <c r="W156" s="367" t="s">
        <v>2563</v>
      </c>
      <c r="X156" s="369"/>
    </row>
    <row r="157" spans="23:24" ht="15" x14ac:dyDescent="0.25">
      <c r="W157" s="367" t="s">
        <v>2564</v>
      </c>
      <c r="X157" s="369"/>
    </row>
    <row r="158" spans="23:24" ht="15" x14ac:dyDescent="0.25">
      <c r="W158" s="367" t="s">
        <v>2565</v>
      </c>
      <c r="X158" s="369"/>
    </row>
    <row r="159" spans="23:24" ht="15" x14ac:dyDescent="0.25">
      <c r="W159" s="367" t="s">
        <v>2566</v>
      </c>
      <c r="X159" s="369"/>
    </row>
    <row r="160" spans="23:24" ht="15" x14ac:dyDescent="0.25">
      <c r="W160" s="367" t="s">
        <v>2625</v>
      </c>
      <c r="X160" s="369"/>
    </row>
    <row r="161" spans="23:24" ht="15" x14ac:dyDescent="0.25">
      <c r="W161" s="367" t="s">
        <v>2567</v>
      </c>
      <c r="X161" s="369"/>
    </row>
    <row r="162" spans="23:24" ht="15" x14ac:dyDescent="0.25">
      <c r="W162" s="367" t="s">
        <v>2568</v>
      </c>
      <c r="X162" s="369"/>
    </row>
    <row r="163" spans="23:24" ht="15" x14ac:dyDescent="0.25">
      <c r="W163" s="367" t="s">
        <v>2569</v>
      </c>
      <c r="X163" s="369"/>
    </row>
    <row r="164" spans="23:24" ht="15" x14ac:dyDescent="0.25">
      <c r="W164" s="367" t="s">
        <v>2614</v>
      </c>
      <c r="X164" s="369"/>
    </row>
    <row r="165" spans="23:24" ht="15" x14ac:dyDescent="0.25">
      <c r="W165" s="367" t="s">
        <v>2570</v>
      </c>
      <c r="X165" s="369"/>
    </row>
    <row r="166" spans="23:24" ht="15" x14ac:dyDescent="0.25">
      <c r="W166" s="367" t="s">
        <v>2571</v>
      </c>
      <c r="X166" s="369"/>
    </row>
    <row r="167" spans="23:24" ht="15" x14ac:dyDescent="0.25">
      <c r="W167" s="367" t="s">
        <v>2572</v>
      </c>
      <c r="X167" s="369"/>
    </row>
    <row r="168" spans="23:24" ht="15" x14ac:dyDescent="0.25">
      <c r="W168" s="367" t="s">
        <v>2573</v>
      </c>
      <c r="X168" s="369"/>
    </row>
    <row r="169" spans="23:24" ht="15" x14ac:dyDescent="0.25">
      <c r="W169" s="367" t="s">
        <v>2574</v>
      </c>
      <c r="X169" s="369"/>
    </row>
    <row r="170" spans="23:24" ht="15" x14ac:dyDescent="0.25">
      <c r="W170" s="367" t="s">
        <v>2575</v>
      </c>
      <c r="X170" s="369"/>
    </row>
    <row r="171" spans="23:24" ht="15" x14ac:dyDescent="0.25">
      <c r="W171" s="367" t="s">
        <v>2576</v>
      </c>
      <c r="X171" s="369"/>
    </row>
    <row r="172" spans="23:24" ht="15" x14ac:dyDescent="0.25">
      <c r="W172" s="367" t="s">
        <v>2577</v>
      </c>
      <c r="X172" s="369"/>
    </row>
    <row r="173" spans="23:24" ht="15" x14ac:dyDescent="0.25">
      <c r="W173" s="367" t="s">
        <v>2578</v>
      </c>
      <c r="X173" s="369"/>
    </row>
    <row r="174" spans="23:24" ht="15" x14ac:dyDescent="0.25">
      <c r="W174" s="367" t="s">
        <v>2579</v>
      </c>
      <c r="X174" s="369"/>
    </row>
    <row r="175" spans="23:24" ht="15" x14ac:dyDescent="0.25">
      <c r="W175" s="367" t="s">
        <v>2580</v>
      </c>
      <c r="X175" s="369"/>
    </row>
    <row r="176" spans="23:24" ht="15" x14ac:dyDescent="0.25">
      <c r="W176" s="367" t="s">
        <v>2581</v>
      </c>
      <c r="X176" s="369"/>
    </row>
    <row r="177" spans="23:24" ht="15" x14ac:dyDescent="0.25">
      <c r="W177" s="367" t="s">
        <v>2582</v>
      </c>
      <c r="X177" s="369"/>
    </row>
    <row r="178" spans="23:24" ht="15" x14ac:dyDescent="0.25">
      <c r="W178" s="367" t="s">
        <v>2583</v>
      </c>
      <c r="X178" s="369"/>
    </row>
    <row r="179" spans="23:24" ht="15" x14ac:dyDescent="0.25">
      <c r="W179" s="367" t="s">
        <v>2584</v>
      </c>
      <c r="X179" s="369"/>
    </row>
    <row r="180" spans="23:24" ht="15" x14ac:dyDescent="0.25">
      <c r="W180" s="367" t="s">
        <v>2585</v>
      </c>
      <c r="X180" s="369"/>
    </row>
    <row r="181" spans="23:24" ht="15" x14ac:dyDescent="0.25">
      <c r="W181" s="367" t="s">
        <v>2586</v>
      </c>
      <c r="X181" s="369"/>
    </row>
    <row r="182" spans="23:24" ht="15" x14ac:dyDescent="0.25">
      <c r="W182" s="367" t="s">
        <v>2587</v>
      </c>
      <c r="X182" s="369"/>
    </row>
    <row r="183" spans="23:24" ht="15" x14ac:dyDescent="0.25">
      <c r="W183" s="367" t="s">
        <v>2588</v>
      </c>
      <c r="X183" s="369"/>
    </row>
    <row r="184" spans="23:24" ht="15" x14ac:dyDescent="0.25">
      <c r="W184" s="367" t="s">
        <v>2589</v>
      </c>
      <c r="X184" s="369"/>
    </row>
    <row r="185" spans="23:24" ht="15" x14ac:dyDescent="0.25">
      <c r="W185" s="367" t="s">
        <v>2615</v>
      </c>
      <c r="X185" s="369"/>
    </row>
    <row r="186" spans="23:24" ht="15" x14ac:dyDescent="0.25">
      <c r="W186" s="367" t="s">
        <v>2590</v>
      </c>
      <c r="X186" s="369"/>
    </row>
    <row r="187" spans="23:24" ht="15" x14ac:dyDescent="0.25">
      <c r="W187" s="367" t="s">
        <v>2591</v>
      </c>
      <c r="X187" s="369"/>
    </row>
    <row r="188" spans="23:24" ht="15" x14ac:dyDescent="0.25">
      <c r="W188" s="367" t="s">
        <v>2592</v>
      </c>
      <c r="X188" s="369"/>
    </row>
    <row r="189" spans="23:24" ht="15" x14ac:dyDescent="0.25">
      <c r="W189" s="367" t="s">
        <v>2593</v>
      </c>
      <c r="X189" s="369"/>
    </row>
    <row r="190" spans="23:24" ht="15" x14ac:dyDescent="0.25">
      <c r="W190" s="367" t="s">
        <v>2594</v>
      </c>
      <c r="X190" s="369"/>
    </row>
    <row r="191" spans="23:24" ht="15" x14ac:dyDescent="0.25">
      <c r="W191" s="367" t="s">
        <v>2595</v>
      </c>
      <c r="X191" s="369"/>
    </row>
    <row r="192" spans="23:24" ht="15" x14ac:dyDescent="0.25">
      <c r="W192" s="367" t="s">
        <v>2596</v>
      </c>
      <c r="X192" s="369"/>
    </row>
    <row r="193" spans="23:24" ht="15" x14ac:dyDescent="0.25">
      <c r="W193" s="367" t="s">
        <v>2597</v>
      </c>
      <c r="X193" s="369"/>
    </row>
    <row r="194" spans="23:24" ht="15" x14ac:dyDescent="0.25">
      <c r="W194" s="367" t="s">
        <v>2598</v>
      </c>
      <c r="X194" s="369"/>
    </row>
    <row r="195" spans="23:24" ht="15" x14ac:dyDescent="0.25">
      <c r="W195" s="367" t="s">
        <v>2599</v>
      </c>
      <c r="X195" s="369"/>
    </row>
    <row r="196" spans="23:24" ht="15" x14ac:dyDescent="0.25">
      <c r="W196" s="367" t="s">
        <v>2600</v>
      </c>
      <c r="X196" s="369"/>
    </row>
    <row r="197" spans="23:24" ht="15" x14ac:dyDescent="0.25">
      <c r="W197" s="367" t="s">
        <v>2601</v>
      </c>
      <c r="X197" s="369"/>
    </row>
    <row r="198" spans="23:24" ht="15" x14ac:dyDescent="0.25">
      <c r="W198" s="367" t="s">
        <v>2616</v>
      </c>
      <c r="X198" s="369"/>
    </row>
    <row r="199" spans="23:24" ht="15" x14ac:dyDescent="0.25">
      <c r="W199" s="367" t="s">
        <v>2602</v>
      </c>
      <c r="X199" s="369"/>
    </row>
    <row r="200" spans="23:24" ht="15" x14ac:dyDescent="0.25">
      <c r="W200" s="367" t="s">
        <v>2603</v>
      </c>
      <c r="X200" s="369"/>
    </row>
    <row r="201" spans="23:24" ht="15" x14ac:dyDescent="0.25">
      <c r="W201" s="367" t="s">
        <v>2604</v>
      </c>
      <c r="X201" s="369"/>
    </row>
    <row r="202" spans="23:24" ht="15" x14ac:dyDescent="0.25">
      <c r="W202" s="367" t="s">
        <v>2605</v>
      </c>
    </row>
    <row r="206" spans="23:24" x14ac:dyDescent="0.25">
      <c r="W206" s="1" t="s">
        <v>2623</v>
      </c>
    </row>
    <row r="207" spans="23:24" x14ac:dyDescent="0.25">
      <c r="W207" s="1" t="s">
        <v>2624</v>
      </c>
    </row>
  </sheetData>
  <sheetProtection password="EECE" sheet="1" objects="1" scenarios="1" formatCells="0" formatColumns="0" formatRows="0" deleteColumns="0" deleteRows="0"/>
  <customSheetViews>
    <customSheetView guid="{C3088B2E-F853-4D7E-B687-C6500891DFCB}" scale="110" showPageBreaks="1" fitToPage="1" printArea="1" topLeftCell="A7">
      <selection activeCell="K33" sqref="K33"/>
      <pageMargins left="0.47244094488188998" right="0.47244094488188998" top="0.59055118110236204" bottom="0.59055118110236204" header="0.39370078740157499" footer="0.39370078740157499"/>
      <pageSetup scale="76" fitToHeight="0" orientation="portrait" r:id="rId1"/>
      <headerFooter alignWithMargins="0">
        <oddFooter>&amp;L&amp;8&amp;D  &amp;T&amp;R&amp;8March 2014, Version 0.2</oddFooter>
      </headerFooter>
    </customSheetView>
    <customSheetView guid="{F866C9B2-56BF-4FE4-B270-CC8FE15A5892}" scale="110" showPageBreaks="1" fitToPage="1" printArea="1" topLeftCell="A7">
      <selection activeCell="K33" sqref="K33"/>
      <pageMargins left="0.47244094488188998" right="0.47244094488188998" top="0.59055118110236204" bottom="0.59055118110236204" header="0.39370078740157499" footer="0.39370078740157499"/>
      <pageSetup scale="76" fitToHeight="0" orientation="portrait" r:id="rId2"/>
      <headerFooter alignWithMargins="0">
        <oddFooter>&amp;L&amp;8&amp;D  &amp;T&amp;R&amp;8March 2014, Version 0.2</oddFooter>
      </headerFooter>
    </customSheetView>
    <customSheetView guid="{D66484CB-9D53-43A1-A83D-11534BC40BF6}" scale="110" showPageBreaks="1" fitToPage="1" printArea="1">
      <selection activeCell="M19" sqref="M19"/>
      <pageMargins left="0.47244094488188998" right="0.47244094488188998" top="0.59055118110236204" bottom="0.59055118110236204" header="0.39370078740157499" footer="0.39370078740157499"/>
      <pageSetup scale="76" fitToHeight="0" orientation="portrait" r:id="rId3"/>
      <headerFooter alignWithMargins="0">
        <oddFooter>&amp;L&amp;8&amp;D  &amp;T&amp;R&amp;8March 2014, Version 0.2</oddFooter>
      </headerFooter>
    </customSheetView>
  </customSheetViews>
  <mergeCells count="8">
    <mergeCell ref="Z23:AD24"/>
    <mergeCell ref="Z3:AD8"/>
    <mergeCell ref="F4:Q5"/>
    <mergeCell ref="F3:Q3"/>
    <mergeCell ref="D30:G30"/>
    <mergeCell ref="D24:H24"/>
    <mergeCell ref="D25:H26"/>
    <mergeCell ref="L10:O12"/>
  </mergeCells>
  <conditionalFormatting sqref="AC25">
    <cfRule type="containsText" dxfId="350" priority="21" operator="containsText" text="FALSE">
      <formula>NOT(ISERROR(SEARCH("FALSE",AC25)))</formula>
    </cfRule>
  </conditionalFormatting>
  <conditionalFormatting sqref="AC25 AD11:AD12 AD14">
    <cfRule type="containsText" dxfId="349" priority="20" operator="containsText" text="TRUE">
      <formula>NOT(ISERROR(SEARCH("TRUE",AC11)))</formula>
    </cfRule>
  </conditionalFormatting>
  <conditionalFormatting sqref="L10">
    <cfRule type="containsText" dxfId="348" priority="16" operator="containsText" text="Yes">
      <formula>NOT(ISERROR(SEARCH("Yes",L10)))</formula>
    </cfRule>
    <cfRule type="containsText" dxfId="347" priority="17" operator="containsText" text="No">
      <formula>NOT(ISERROR(SEARCH("No",L10)))</formula>
    </cfRule>
  </conditionalFormatting>
  <conditionalFormatting sqref="AD11:AD12">
    <cfRule type="containsText" dxfId="346" priority="12" operator="containsText" text="No">
      <formula>NOT(ISERROR(SEARCH("No",AD11)))</formula>
    </cfRule>
    <cfRule type="containsText" dxfId="345" priority="13" operator="containsText" text="yes">
      <formula>NOT(ISERROR(SEARCH("yes",AD11)))</formula>
    </cfRule>
  </conditionalFormatting>
  <conditionalFormatting sqref="AD14">
    <cfRule type="containsText" dxfId="344" priority="10" operator="containsText" text="True">
      <formula>NOT(ISERROR(SEARCH("True",AD14)))</formula>
    </cfRule>
    <cfRule type="containsText" dxfId="343" priority="11" operator="containsText" text="False">
      <formula>NOT(ISERROR(SEARCH("False",AD14)))</formula>
    </cfRule>
  </conditionalFormatting>
  <conditionalFormatting sqref="AD14">
    <cfRule type="containsText" dxfId="342" priority="8" operator="containsText" text="No">
      <formula>NOT(ISERROR(SEARCH("No",AD14)))</formula>
    </cfRule>
    <cfRule type="containsText" dxfId="341" priority="9" operator="containsText" text="yes">
      <formula>NOT(ISERROR(SEARCH("yes",AD14)))</formula>
    </cfRule>
  </conditionalFormatting>
  <conditionalFormatting sqref="AD17:AD21">
    <cfRule type="containsText" dxfId="340" priority="6" operator="containsText" text="No">
      <formula>NOT(ISERROR(SEARCH("No",AD17)))</formula>
    </cfRule>
    <cfRule type="containsText" dxfId="339" priority="7" operator="containsText" text="Oui">
      <formula>NOT(ISERROR(SEARCH("Oui",AD17)))</formula>
    </cfRule>
  </conditionalFormatting>
  <conditionalFormatting sqref="AD13">
    <cfRule type="containsText" dxfId="338" priority="4" operator="containsText" text="yes">
      <formula>NOT(ISERROR(SEARCH("yes",AD13)))</formula>
    </cfRule>
    <cfRule type="containsText" dxfId="337" priority="5" operator="containsText" text="No">
      <formula>NOT(ISERROR(SEARCH("No",AD13)))</formula>
    </cfRule>
  </conditionalFormatting>
  <conditionalFormatting sqref="AD26:AD38">
    <cfRule type="containsText" dxfId="336" priority="2" operator="containsText" text="yes">
      <formula>NOT(ISERROR(SEARCH("yes",AD26)))</formula>
    </cfRule>
    <cfRule type="containsText" dxfId="335" priority="3" operator="containsText" text="No">
      <formula>NOT(ISERROR(SEARCH("No",AD26)))</formula>
    </cfRule>
  </conditionalFormatting>
  <conditionalFormatting sqref="AD17:AD21 AD11:AD14 AD26:AD38">
    <cfRule type="containsText" dxfId="334" priority="1" operator="containsText" text="Si">
      <formula>NOT(ISERROR(SEARCH("Si",AD11)))</formula>
    </cfRule>
  </conditionalFormatting>
  <dataValidations count="4">
    <dataValidation type="list" allowBlank="1" showInputMessage="1" showErrorMessage="1" sqref="I15">
      <formula1>$W$10:$W$14</formula1>
    </dataValidation>
    <dataValidation type="list" allowBlank="1" showInputMessage="1" showErrorMessage="1" sqref="I11">
      <formula1>$W$22:$W$33</formula1>
    </dataValidation>
    <dataValidation type="list" allowBlank="1" showInputMessage="1" showErrorMessage="1" sqref="I14">
      <formula1>$W$42:$W$202</formula1>
    </dataValidation>
    <dataValidation type="list" allowBlank="1" showInputMessage="1" showErrorMessage="1" sqref="I12">
      <formula1>$X$22:$X$52</formula1>
    </dataValidation>
  </dataValidations>
  <pageMargins left="0.47244094488188998" right="0.47244094488188998" top="0.59055118110236204" bottom="0.59055118110236204" header="0.39370078740157499" footer="0.39370078740157499"/>
  <pageSetup scale="72" fitToHeight="0" orientation="portrait" r:id="rId4"/>
  <headerFooter alignWithMargins="0">
    <oddFooter>&amp;L&amp;8&amp;D  &amp;T&amp;R&amp;8March 2014, Version 0.2</oddFooter>
  </headerFooter>
  <drawing r:id="rId5"/>
  <legacyDrawing r:id="rId6"/>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FFFF"/>
    <pageSetUpPr fitToPage="1"/>
  </sheetPr>
  <dimension ref="A1:M122"/>
  <sheetViews>
    <sheetView zoomScale="110" zoomScaleNormal="110" workbookViewId="0">
      <pane xSplit="3" ySplit="6" topLeftCell="D7" activePane="bottomRight" state="frozen"/>
      <selection activeCell="H34" sqref="H34"/>
      <selection pane="topRight" activeCell="H34" sqref="H34"/>
      <selection pane="bottomLeft" activeCell="H34" sqref="H34"/>
      <selection pane="bottomRight" activeCell="D7" sqref="D7"/>
    </sheetView>
  </sheetViews>
  <sheetFormatPr baseColWidth="10" defaultColWidth="9.140625" defaultRowHeight="12.75" x14ac:dyDescent="0.2"/>
  <cols>
    <col min="1" max="1" width="7.28515625" style="164" customWidth="1"/>
    <col min="2" max="2" width="53.42578125" style="164" customWidth="1"/>
    <col min="3" max="3" width="4.7109375" style="164" customWidth="1"/>
    <col min="4" max="4" width="10" style="164" customWidth="1"/>
    <col min="5" max="5" width="70.7109375" style="164" customWidth="1"/>
    <col min="6" max="6" width="9.140625" style="164" customWidth="1"/>
    <col min="7" max="16384" width="9.140625" style="164"/>
  </cols>
  <sheetData>
    <row r="1" spans="1:13" ht="14.25" x14ac:dyDescent="0.25">
      <c r="A1" s="69" t="str">
        <f>+Coverpage!A1</f>
        <v>GFSM2014_V1.5</v>
      </c>
      <c r="B1" s="70"/>
      <c r="C1" s="71"/>
      <c r="D1" s="161" t="str">
        <f>Reporting_Country_Code</f>
        <v>233</v>
      </c>
      <c r="E1" s="104" t="str">
        <f>Reporting_Country_Name</f>
        <v>Colombia</v>
      </c>
      <c r="F1" s="164" t="str">
        <f>Reporting_Period_Code</f>
        <v>2016</v>
      </c>
      <c r="M1" s="164" t="str">
        <f>Reporting_Country_Code</f>
        <v>233</v>
      </c>
    </row>
    <row r="2" spans="1:13" ht="14.25" x14ac:dyDescent="0.25">
      <c r="A2" s="69" t="s">
        <v>574</v>
      </c>
      <c r="B2" s="72"/>
      <c r="C2" s="73"/>
      <c r="D2" s="160"/>
      <c r="E2" s="161" t="str">
        <f>"In "&amp;Coverpage!$I$15&amp;" of "&amp;Coverpage!$I$14&amp;" / Fiscal year ends in "&amp;Coverpage!$I$11&amp;" "&amp;Coverpage!$I$12</f>
        <v xml:space="preserve">In Billion of Colombian Pesos (COP) / Fiscal year ends in  </v>
      </c>
    </row>
    <row r="3" spans="1:13" ht="12" customHeight="1" x14ac:dyDescent="0.25">
      <c r="A3" s="105"/>
      <c r="B3" s="74"/>
      <c r="C3" s="75"/>
      <c r="D3" s="122" t="str">
        <f>Coverpage!I10</f>
        <v>2016</v>
      </c>
      <c r="E3" s="347"/>
    </row>
    <row r="4" spans="1:13" ht="12" customHeight="1" x14ac:dyDescent="0.2">
      <c r="A4" s="769" t="s">
        <v>566</v>
      </c>
      <c r="B4" s="770"/>
      <c r="C4" s="76"/>
      <c r="D4" s="817" t="s">
        <v>114</v>
      </c>
      <c r="E4" s="816" t="s">
        <v>573</v>
      </c>
    </row>
    <row r="5" spans="1:13" ht="30" customHeight="1" x14ac:dyDescent="0.2">
      <c r="A5" s="769"/>
      <c r="B5" s="770"/>
      <c r="C5" s="76"/>
      <c r="D5" s="817"/>
      <c r="E5" s="816"/>
    </row>
    <row r="6" spans="1:13" ht="10.5" customHeight="1" x14ac:dyDescent="0.2">
      <c r="A6" s="106"/>
      <c r="B6" s="77"/>
      <c r="C6" s="77"/>
      <c r="D6" s="123"/>
      <c r="E6" s="348"/>
    </row>
    <row r="7" spans="1:13" ht="15" customHeight="1" x14ac:dyDescent="0.2">
      <c r="A7" s="118" t="s">
        <v>627</v>
      </c>
      <c r="B7" s="116"/>
      <c r="C7" s="180" t="s">
        <v>48</v>
      </c>
      <c r="D7" s="349"/>
      <c r="E7" s="350"/>
    </row>
    <row r="8" spans="1:13" ht="11.25" customHeight="1" x14ac:dyDescent="0.2">
      <c r="A8" s="107" t="s">
        <v>560</v>
      </c>
      <c r="B8" s="108"/>
      <c r="C8" s="173" t="s">
        <v>48</v>
      </c>
      <c r="D8" s="79">
        <f>(SUM(Table1!M8)-SUM(Table1!M55)-SUM(Table1!M58)-SUM(Table1!M61)-SUM(Table1!M83)-SUM(Table1!M89))-(SUM(Table2!N8)-SUM(Table2!M27)-SUM(Table2!M30)-SUM(Table2!M33)-SUM(Table2!M47)-SUM(Table2!M53))</f>
        <v>1846.8762919999717</v>
      </c>
      <c r="E8" s="818"/>
    </row>
    <row r="9" spans="1:13" ht="11.25" customHeight="1" x14ac:dyDescent="0.2">
      <c r="A9" s="109"/>
      <c r="B9" s="119" t="s">
        <v>575</v>
      </c>
      <c r="C9" s="173" t="s">
        <v>48</v>
      </c>
      <c r="D9" s="80"/>
      <c r="E9" s="819"/>
    </row>
    <row r="10" spans="1:13" ht="11.25" customHeight="1" x14ac:dyDescent="0.2">
      <c r="A10" s="111"/>
      <c r="B10" s="120" t="s">
        <v>697</v>
      </c>
      <c r="C10" s="180" t="s">
        <v>48</v>
      </c>
      <c r="D10" s="81"/>
      <c r="E10" s="820"/>
    </row>
    <row r="11" spans="1:13" ht="11.25" customHeight="1" x14ac:dyDescent="0.2">
      <c r="A11" s="107" t="s">
        <v>576</v>
      </c>
      <c r="B11" s="108"/>
      <c r="C11" s="173" t="s">
        <v>48</v>
      </c>
      <c r="D11" s="79">
        <f>SUM(Table3!M9)</f>
        <v>19701.438341999998</v>
      </c>
      <c r="E11" s="818"/>
    </row>
    <row r="12" spans="1:13" ht="11.25" customHeight="1" x14ac:dyDescent="0.2">
      <c r="A12" s="109"/>
      <c r="B12" s="119" t="s">
        <v>600</v>
      </c>
      <c r="C12" s="173" t="s">
        <v>48</v>
      </c>
      <c r="D12" s="80"/>
      <c r="E12" s="819"/>
    </row>
    <row r="13" spans="1:13" ht="11.25" customHeight="1" x14ac:dyDescent="0.2">
      <c r="A13" s="111"/>
      <c r="B13" s="120" t="s">
        <v>697</v>
      </c>
      <c r="C13" s="180" t="s">
        <v>48</v>
      </c>
      <c r="D13" s="81"/>
      <c r="E13" s="820"/>
    </row>
    <row r="14" spans="1:13" ht="11.25" customHeight="1" x14ac:dyDescent="0.2">
      <c r="A14" s="107" t="s">
        <v>577</v>
      </c>
      <c r="B14" s="108"/>
      <c r="C14" s="173" t="s">
        <v>48</v>
      </c>
      <c r="D14" s="79">
        <f>SUM(StatementI!L31)</f>
        <v>-45522.835990260166</v>
      </c>
      <c r="E14" s="818"/>
    </row>
    <row r="15" spans="1:13" ht="11.25" customHeight="1" x14ac:dyDescent="0.2">
      <c r="A15" s="109"/>
      <c r="B15" s="119" t="s">
        <v>578</v>
      </c>
      <c r="C15" s="173" t="s">
        <v>48</v>
      </c>
      <c r="D15" s="80"/>
      <c r="E15" s="819"/>
    </row>
    <row r="16" spans="1:13" ht="11.25" customHeight="1" x14ac:dyDescent="0.2">
      <c r="A16" s="112"/>
      <c r="B16" s="121" t="s">
        <v>697</v>
      </c>
      <c r="C16" s="351" t="s">
        <v>48</v>
      </c>
      <c r="D16" s="82"/>
      <c r="E16" s="821"/>
    </row>
    <row r="17" spans="1:5" ht="15" customHeight="1" x14ac:dyDescent="0.2">
      <c r="A17" s="118" t="s">
        <v>628</v>
      </c>
      <c r="B17" s="116"/>
      <c r="C17" s="180" t="s">
        <v>48</v>
      </c>
      <c r="D17" s="88"/>
      <c r="E17" s="78"/>
    </row>
    <row r="18" spans="1:5" ht="11.25" customHeight="1" x14ac:dyDescent="0.2">
      <c r="A18" s="107" t="s">
        <v>605</v>
      </c>
      <c r="B18" s="108"/>
      <c r="C18" s="173" t="s">
        <v>48</v>
      </c>
      <c r="D18" s="79">
        <f>SUM(Table1!M55,Table1!M58)</f>
        <v>403.98577299999999</v>
      </c>
      <c r="E18" s="818"/>
    </row>
    <row r="19" spans="1:5" ht="11.25" customHeight="1" x14ac:dyDescent="0.2">
      <c r="A19" s="109"/>
      <c r="B19" s="119" t="s">
        <v>603</v>
      </c>
      <c r="C19" s="173" t="s">
        <v>48</v>
      </c>
      <c r="D19" s="80"/>
      <c r="E19" s="819"/>
    </row>
    <row r="20" spans="1:5" ht="11.25" customHeight="1" x14ac:dyDescent="0.2">
      <c r="A20" s="111"/>
      <c r="B20" s="120" t="s">
        <v>697</v>
      </c>
      <c r="C20" s="180" t="s">
        <v>48</v>
      </c>
      <c r="D20" s="81"/>
      <c r="E20" s="820"/>
    </row>
    <row r="21" spans="1:5" ht="11.25" customHeight="1" x14ac:dyDescent="0.2">
      <c r="A21" s="107" t="s">
        <v>604</v>
      </c>
      <c r="B21" s="108"/>
      <c r="C21" s="173" t="s">
        <v>48</v>
      </c>
      <c r="D21" s="79">
        <f>SUM(Table2!M27,Table2!M30)</f>
        <v>0</v>
      </c>
      <c r="E21" s="822"/>
    </row>
    <row r="22" spans="1:5" ht="11.25" customHeight="1" x14ac:dyDescent="0.2">
      <c r="A22" s="109"/>
      <c r="B22" s="119" t="s">
        <v>606</v>
      </c>
      <c r="C22" s="173" t="s">
        <v>48</v>
      </c>
      <c r="D22" s="80"/>
      <c r="E22" s="823"/>
    </row>
    <row r="23" spans="1:5" ht="11.25" customHeight="1" x14ac:dyDescent="0.2">
      <c r="A23" s="111"/>
      <c r="B23" s="120" t="s">
        <v>697</v>
      </c>
      <c r="C23" s="180" t="s">
        <v>48</v>
      </c>
      <c r="D23" s="81"/>
      <c r="E23" s="824"/>
    </row>
    <row r="24" spans="1:5" ht="11.25" customHeight="1" x14ac:dyDescent="0.2">
      <c r="A24" s="107" t="s">
        <v>607</v>
      </c>
      <c r="B24" s="108"/>
      <c r="C24" s="173" t="s">
        <v>48</v>
      </c>
      <c r="D24" s="79">
        <f>SUM(Table3!M40)</f>
        <v>-161.98910500000005</v>
      </c>
      <c r="E24" s="818"/>
    </row>
    <row r="25" spans="1:5" ht="11.25" customHeight="1" x14ac:dyDescent="0.2">
      <c r="A25" s="109"/>
      <c r="B25" s="119" t="s">
        <v>613</v>
      </c>
      <c r="C25" s="173" t="s">
        <v>48</v>
      </c>
      <c r="D25" s="80"/>
      <c r="E25" s="819"/>
    </row>
    <row r="26" spans="1:5" ht="11.25" customHeight="1" x14ac:dyDescent="0.2">
      <c r="A26" s="111"/>
      <c r="B26" s="120" t="s">
        <v>697</v>
      </c>
      <c r="C26" s="180" t="s">
        <v>48</v>
      </c>
      <c r="D26" s="81"/>
      <c r="E26" s="820"/>
    </row>
    <row r="27" spans="1:5" ht="11.25" customHeight="1" x14ac:dyDescent="0.2">
      <c r="A27" s="107" t="s">
        <v>608</v>
      </c>
      <c r="B27" s="108"/>
      <c r="C27" s="173" t="s">
        <v>48</v>
      </c>
      <c r="D27" s="79">
        <f>SUM(Table3!M71)</f>
        <v>3928.11231</v>
      </c>
      <c r="E27" s="818"/>
    </row>
    <row r="28" spans="1:5" ht="11.25" customHeight="1" x14ac:dyDescent="0.2">
      <c r="A28" s="109"/>
      <c r="B28" s="119" t="s">
        <v>614</v>
      </c>
      <c r="C28" s="173" t="s">
        <v>48</v>
      </c>
      <c r="D28" s="80"/>
      <c r="E28" s="819"/>
    </row>
    <row r="29" spans="1:5" ht="11.25" customHeight="1" x14ac:dyDescent="0.2">
      <c r="A29" s="112"/>
      <c r="B29" s="121" t="s">
        <v>697</v>
      </c>
      <c r="C29" s="351" t="s">
        <v>48</v>
      </c>
      <c r="D29" s="82"/>
      <c r="E29" s="821"/>
    </row>
    <row r="30" spans="1:5" ht="15" customHeight="1" x14ac:dyDescent="0.2">
      <c r="A30" s="118" t="s">
        <v>629</v>
      </c>
      <c r="B30" s="116"/>
      <c r="C30" s="180" t="s">
        <v>48</v>
      </c>
      <c r="D30" s="88"/>
      <c r="E30" s="78"/>
    </row>
    <row r="31" spans="1:5" ht="11.25" customHeight="1" x14ac:dyDescent="0.2">
      <c r="A31" s="107" t="s">
        <v>611</v>
      </c>
      <c r="B31" s="108"/>
      <c r="C31" s="173" t="s">
        <v>48</v>
      </c>
      <c r="D31" s="79">
        <f>SUM(Table6!M40)</f>
        <v>10056.739862999999</v>
      </c>
      <c r="E31" s="818"/>
    </row>
    <row r="32" spans="1:5" ht="11.25" customHeight="1" x14ac:dyDescent="0.2">
      <c r="A32" s="109"/>
      <c r="B32" s="119" t="s">
        <v>612</v>
      </c>
      <c r="C32" s="173" t="s">
        <v>48</v>
      </c>
      <c r="D32" s="80"/>
      <c r="E32" s="819"/>
    </row>
    <row r="33" spans="1:5" ht="11.25" customHeight="1" x14ac:dyDescent="0.2">
      <c r="A33" s="111"/>
      <c r="B33" s="120" t="s">
        <v>697</v>
      </c>
      <c r="C33" s="180" t="s">
        <v>48</v>
      </c>
      <c r="D33" s="81"/>
      <c r="E33" s="820"/>
    </row>
    <row r="34" spans="1:5" ht="11.25" customHeight="1" x14ac:dyDescent="0.2">
      <c r="A34" s="107" t="s">
        <v>609</v>
      </c>
      <c r="B34" s="108"/>
      <c r="C34" s="173" t="s">
        <v>48</v>
      </c>
      <c r="D34" s="79">
        <f>SUM(Table6!M71)</f>
        <v>137702.84902899998</v>
      </c>
      <c r="E34" s="818"/>
    </row>
    <row r="35" spans="1:5" ht="11.25" customHeight="1" x14ac:dyDescent="0.2">
      <c r="A35" s="109"/>
      <c r="B35" s="119" t="s">
        <v>610</v>
      </c>
      <c r="C35" s="173" t="s">
        <v>48</v>
      </c>
      <c r="D35" s="80"/>
      <c r="E35" s="819"/>
    </row>
    <row r="36" spans="1:5" ht="11.25" customHeight="1" x14ac:dyDescent="0.2">
      <c r="A36" s="112"/>
      <c r="B36" s="121" t="s">
        <v>697</v>
      </c>
      <c r="C36" s="351" t="s">
        <v>48</v>
      </c>
      <c r="D36" s="82"/>
      <c r="E36" s="821"/>
    </row>
    <row r="37" spans="1:5" ht="15" customHeight="1" x14ac:dyDescent="0.2">
      <c r="A37" s="118" t="s">
        <v>630</v>
      </c>
      <c r="B37" s="116"/>
      <c r="C37" s="180" t="s">
        <v>48</v>
      </c>
      <c r="D37" s="88"/>
      <c r="E37" s="78"/>
    </row>
    <row r="38" spans="1:5" ht="11.25" customHeight="1" x14ac:dyDescent="0.2">
      <c r="A38" s="107" t="s">
        <v>617</v>
      </c>
      <c r="B38" s="108"/>
      <c r="C38" s="173" t="s">
        <v>48</v>
      </c>
      <c r="D38" s="79">
        <f>SUM(Table8B!M36)-SUM(Table8B!M17)</f>
        <v>0</v>
      </c>
      <c r="E38" s="818"/>
    </row>
    <row r="39" spans="1:5" ht="11.25" customHeight="1" x14ac:dyDescent="0.2">
      <c r="A39" s="109"/>
      <c r="B39" s="119" t="s">
        <v>619</v>
      </c>
      <c r="C39" s="173" t="s">
        <v>48</v>
      </c>
      <c r="D39" s="80"/>
      <c r="E39" s="819"/>
    </row>
    <row r="40" spans="1:5" ht="11.25" customHeight="1" x14ac:dyDescent="0.2">
      <c r="A40" s="111"/>
      <c r="B40" s="120" t="s">
        <v>697</v>
      </c>
      <c r="C40" s="180" t="s">
        <v>48</v>
      </c>
      <c r="D40" s="81"/>
      <c r="E40" s="820"/>
    </row>
    <row r="41" spans="1:5" ht="11.25" customHeight="1" x14ac:dyDescent="0.2">
      <c r="A41" s="107" t="s">
        <v>615</v>
      </c>
      <c r="B41" s="108"/>
      <c r="C41" s="173" t="s">
        <v>48</v>
      </c>
      <c r="D41" s="79">
        <f>SUM(Table8B!M17)</f>
        <v>0</v>
      </c>
      <c r="E41" s="818"/>
    </row>
    <row r="42" spans="1:5" ht="11.25" customHeight="1" x14ac:dyDescent="0.2">
      <c r="A42" s="109"/>
      <c r="B42" s="119" t="s">
        <v>618</v>
      </c>
      <c r="C42" s="173" t="s">
        <v>48</v>
      </c>
      <c r="D42" s="80"/>
      <c r="E42" s="819"/>
    </row>
    <row r="43" spans="1:5" ht="11.25" customHeight="1" x14ac:dyDescent="0.2">
      <c r="A43" s="111"/>
      <c r="B43" s="120" t="s">
        <v>697</v>
      </c>
      <c r="C43" s="180" t="s">
        <v>48</v>
      </c>
      <c r="D43" s="81"/>
      <c r="E43" s="820"/>
    </row>
    <row r="44" spans="1:5" ht="11.25" customHeight="1" x14ac:dyDescent="0.2">
      <c r="A44" s="107" t="s">
        <v>616</v>
      </c>
      <c r="B44" s="108"/>
      <c r="C44" s="173" t="s">
        <v>48</v>
      </c>
      <c r="D44" s="79">
        <f>SUM(Table8B!M36)</f>
        <v>0</v>
      </c>
      <c r="E44" s="818"/>
    </row>
    <row r="45" spans="1:5" ht="11.25" customHeight="1" x14ac:dyDescent="0.2">
      <c r="A45" s="109"/>
      <c r="B45" s="119" t="s">
        <v>620</v>
      </c>
      <c r="C45" s="173" t="s">
        <v>48</v>
      </c>
      <c r="D45" s="80"/>
      <c r="E45" s="819"/>
    </row>
    <row r="46" spans="1:5" ht="11.25" customHeight="1" x14ac:dyDescent="0.2">
      <c r="A46" s="112"/>
      <c r="B46" s="121" t="s">
        <v>697</v>
      </c>
      <c r="C46" s="351" t="s">
        <v>48</v>
      </c>
      <c r="D46" s="82"/>
      <c r="E46" s="821"/>
    </row>
    <row r="47" spans="1:5" ht="15" customHeight="1" x14ac:dyDescent="0.2">
      <c r="A47" s="118" t="s">
        <v>631</v>
      </c>
      <c r="B47" s="116"/>
      <c r="C47" s="180" t="s">
        <v>48</v>
      </c>
      <c r="D47" s="88"/>
      <c r="E47" s="78"/>
    </row>
    <row r="48" spans="1:5" ht="11.25" customHeight="1" x14ac:dyDescent="0.2">
      <c r="A48" s="107" t="s">
        <v>624</v>
      </c>
      <c r="B48" s="108"/>
      <c r="C48" s="173" t="s">
        <v>48</v>
      </c>
      <c r="D48" s="79">
        <f>SUM(D54)-SUM(D51)</f>
        <v>0</v>
      </c>
      <c r="E48" s="818"/>
    </row>
    <row r="49" spans="1:5" ht="11.25" customHeight="1" x14ac:dyDescent="0.2">
      <c r="A49" s="109"/>
      <c r="B49" s="119" t="s">
        <v>621</v>
      </c>
      <c r="C49" s="173" t="s">
        <v>48</v>
      </c>
      <c r="D49" s="80"/>
      <c r="E49" s="819"/>
    </row>
    <row r="50" spans="1:5" ht="11.25" customHeight="1" x14ac:dyDescent="0.2">
      <c r="A50" s="111"/>
      <c r="B50" s="120" t="s">
        <v>697</v>
      </c>
      <c r="C50" s="180" t="s">
        <v>48</v>
      </c>
      <c r="D50" s="81"/>
      <c r="E50" s="820"/>
    </row>
    <row r="51" spans="1:5" ht="11.25" customHeight="1" x14ac:dyDescent="0.2">
      <c r="A51" s="107" t="s">
        <v>625</v>
      </c>
      <c r="B51" s="108"/>
      <c r="C51" s="173" t="s">
        <v>48</v>
      </c>
      <c r="D51" s="79">
        <f>SUM(Table8B!M18)</f>
        <v>0</v>
      </c>
      <c r="E51" s="818"/>
    </row>
    <row r="52" spans="1:5" ht="11.25" customHeight="1" x14ac:dyDescent="0.2">
      <c r="A52" s="109"/>
      <c r="B52" s="119" t="s">
        <v>622</v>
      </c>
      <c r="C52" s="173" t="s">
        <v>48</v>
      </c>
      <c r="D52" s="80"/>
      <c r="E52" s="819"/>
    </row>
    <row r="53" spans="1:5" ht="11.25" customHeight="1" x14ac:dyDescent="0.2">
      <c r="A53" s="111"/>
      <c r="B53" s="120" t="s">
        <v>697</v>
      </c>
      <c r="C53" s="180" t="s">
        <v>48</v>
      </c>
      <c r="D53" s="81"/>
      <c r="E53" s="820"/>
    </row>
    <row r="54" spans="1:5" ht="11.25" customHeight="1" x14ac:dyDescent="0.2">
      <c r="A54" s="107" t="s">
        <v>626</v>
      </c>
      <c r="B54" s="108"/>
      <c r="C54" s="173" t="s">
        <v>48</v>
      </c>
      <c r="D54" s="79">
        <f>SUM(Table8B!M37)</f>
        <v>0</v>
      </c>
      <c r="E54" s="818"/>
    </row>
    <row r="55" spans="1:5" ht="11.25" customHeight="1" x14ac:dyDescent="0.2">
      <c r="A55" s="109"/>
      <c r="B55" s="119" t="s">
        <v>623</v>
      </c>
      <c r="C55" s="173" t="s">
        <v>48</v>
      </c>
      <c r="D55" s="80"/>
      <c r="E55" s="819"/>
    </row>
    <row r="56" spans="1:5" ht="11.25" customHeight="1" x14ac:dyDescent="0.2">
      <c r="A56" s="112"/>
      <c r="B56" s="121" t="s">
        <v>697</v>
      </c>
      <c r="C56" s="351" t="s">
        <v>48</v>
      </c>
      <c r="D56" s="82"/>
      <c r="E56" s="821"/>
    </row>
    <row r="57" spans="1:5" ht="15" customHeight="1" x14ac:dyDescent="0.2">
      <c r="A57" s="118" t="s">
        <v>601</v>
      </c>
      <c r="B57" s="116"/>
      <c r="C57" s="180" t="s">
        <v>48</v>
      </c>
      <c r="D57" s="88"/>
      <c r="E57" s="78"/>
    </row>
    <row r="58" spans="1:5" ht="11.25" customHeight="1" x14ac:dyDescent="0.2">
      <c r="A58" s="107" t="s">
        <v>579</v>
      </c>
      <c r="B58" s="108"/>
      <c r="C58" s="173" t="s">
        <v>48</v>
      </c>
      <c r="D58" s="79">
        <f>SUM(Table1!M42)</f>
        <v>15729.067965</v>
      </c>
      <c r="E58" s="818"/>
    </row>
    <row r="59" spans="1:5" ht="11.25" customHeight="1" x14ac:dyDescent="0.2">
      <c r="A59" s="109"/>
      <c r="B59" s="119" t="s">
        <v>580</v>
      </c>
      <c r="C59" s="173" t="s">
        <v>48</v>
      </c>
      <c r="D59" s="80"/>
      <c r="E59" s="819"/>
    </row>
    <row r="60" spans="1:5" ht="11.25" customHeight="1" x14ac:dyDescent="0.2">
      <c r="A60" s="109"/>
      <c r="B60" s="119" t="s">
        <v>571</v>
      </c>
      <c r="C60" s="173" t="s">
        <v>48</v>
      </c>
      <c r="D60" s="80"/>
      <c r="E60" s="819"/>
    </row>
    <row r="61" spans="1:5" ht="11.25" customHeight="1" x14ac:dyDescent="0.2">
      <c r="A61" s="111"/>
      <c r="B61" s="120" t="s">
        <v>697</v>
      </c>
      <c r="C61" s="180" t="s">
        <v>48</v>
      </c>
      <c r="D61" s="81"/>
      <c r="E61" s="820"/>
    </row>
    <row r="62" spans="1:5" ht="11.25" customHeight="1" x14ac:dyDescent="0.2">
      <c r="A62" s="107" t="s">
        <v>581</v>
      </c>
      <c r="B62" s="108"/>
      <c r="C62" s="173" t="s">
        <v>48</v>
      </c>
      <c r="D62" s="79">
        <f>SUM(Table1!M64)</f>
        <v>17738.694302</v>
      </c>
      <c r="E62" s="818"/>
    </row>
    <row r="63" spans="1:5" ht="11.25" customHeight="1" x14ac:dyDescent="0.2">
      <c r="A63" s="109"/>
      <c r="B63" s="119" t="s">
        <v>582</v>
      </c>
      <c r="C63" s="173" t="s">
        <v>48</v>
      </c>
      <c r="D63" s="80"/>
      <c r="E63" s="819"/>
    </row>
    <row r="64" spans="1:5" ht="11.25" customHeight="1" x14ac:dyDescent="0.2">
      <c r="A64" s="109"/>
      <c r="B64" s="119" t="s">
        <v>561</v>
      </c>
      <c r="C64" s="173" t="s">
        <v>48</v>
      </c>
      <c r="D64" s="80"/>
      <c r="E64" s="819"/>
    </row>
    <row r="65" spans="1:5" ht="11.25" customHeight="1" x14ac:dyDescent="0.2">
      <c r="A65" s="111"/>
      <c r="B65" s="120" t="s">
        <v>697</v>
      </c>
      <c r="C65" s="180" t="s">
        <v>48</v>
      </c>
      <c r="D65" s="81"/>
      <c r="E65" s="820"/>
    </row>
    <row r="66" spans="1:5" ht="11.25" customHeight="1" x14ac:dyDescent="0.2">
      <c r="A66" s="107" t="s">
        <v>583</v>
      </c>
      <c r="B66" s="108"/>
      <c r="C66" s="173" t="s">
        <v>48</v>
      </c>
      <c r="D66" s="79">
        <f>SUM(Table1!M73)</f>
        <v>18355.442567999999</v>
      </c>
      <c r="E66" s="818"/>
    </row>
    <row r="67" spans="1:5" ht="11.25" customHeight="1" x14ac:dyDescent="0.2">
      <c r="A67" s="109"/>
      <c r="B67" s="119" t="s">
        <v>584</v>
      </c>
      <c r="C67" s="173" t="s">
        <v>48</v>
      </c>
      <c r="D67" s="80"/>
      <c r="E67" s="819"/>
    </row>
    <row r="68" spans="1:5" ht="11.25" customHeight="1" x14ac:dyDescent="0.2">
      <c r="A68" s="109"/>
      <c r="B68" s="119" t="s">
        <v>585</v>
      </c>
      <c r="C68" s="173" t="s">
        <v>48</v>
      </c>
      <c r="D68" s="80"/>
      <c r="E68" s="819"/>
    </row>
    <row r="69" spans="1:5" ht="11.25" customHeight="1" x14ac:dyDescent="0.2">
      <c r="A69" s="109"/>
      <c r="B69" s="119" t="s">
        <v>570</v>
      </c>
      <c r="C69" s="173" t="s">
        <v>48</v>
      </c>
      <c r="D69" s="80"/>
      <c r="E69" s="819"/>
    </row>
    <row r="70" spans="1:5" ht="11.25" customHeight="1" x14ac:dyDescent="0.2">
      <c r="A70" s="111"/>
      <c r="B70" s="120" t="s">
        <v>697</v>
      </c>
      <c r="C70" s="180" t="s">
        <v>48</v>
      </c>
      <c r="D70" s="81"/>
      <c r="E70" s="820"/>
    </row>
    <row r="71" spans="1:5" ht="11.25" customHeight="1" x14ac:dyDescent="0.2">
      <c r="A71" s="107" t="s">
        <v>586</v>
      </c>
      <c r="B71" s="108"/>
      <c r="C71" s="173" t="s">
        <v>48</v>
      </c>
      <c r="D71" s="79">
        <f>SUM(Table2!M9)</f>
        <v>58453.451579</v>
      </c>
      <c r="E71" s="818"/>
    </row>
    <row r="72" spans="1:5" ht="11.25" customHeight="1" x14ac:dyDescent="0.2">
      <c r="A72" s="109"/>
      <c r="B72" s="119" t="s">
        <v>587</v>
      </c>
      <c r="C72" s="173" t="s">
        <v>48</v>
      </c>
      <c r="D72" s="80"/>
      <c r="E72" s="819"/>
    </row>
    <row r="73" spans="1:5" ht="11.25" customHeight="1" x14ac:dyDescent="0.2">
      <c r="A73" s="109"/>
      <c r="B73" s="119" t="s">
        <v>564</v>
      </c>
      <c r="C73" s="173" t="s">
        <v>48</v>
      </c>
      <c r="D73" s="80"/>
      <c r="E73" s="819"/>
    </row>
    <row r="74" spans="1:5" ht="11.25" customHeight="1" x14ac:dyDescent="0.2">
      <c r="A74" s="111"/>
      <c r="B74" s="120" t="s">
        <v>697</v>
      </c>
      <c r="C74" s="180" t="s">
        <v>48</v>
      </c>
      <c r="D74" s="81"/>
      <c r="E74" s="820"/>
    </row>
    <row r="75" spans="1:5" ht="11.25" customHeight="1" x14ac:dyDescent="0.2">
      <c r="A75" s="107" t="s">
        <v>588</v>
      </c>
      <c r="B75" s="108"/>
      <c r="C75" s="173" t="s">
        <v>48</v>
      </c>
      <c r="D75" s="79">
        <f>SUM(Table2!M14)</f>
        <v>43990.939767000003</v>
      </c>
      <c r="E75" s="818"/>
    </row>
    <row r="76" spans="1:5" ht="11.25" customHeight="1" x14ac:dyDescent="0.2">
      <c r="A76" s="109"/>
      <c r="B76" s="119" t="s">
        <v>589</v>
      </c>
      <c r="C76" s="173" t="s">
        <v>48</v>
      </c>
      <c r="D76" s="80"/>
      <c r="E76" s="819"/>
    </row>
    <row r="77" spans="1:5" ht="11.25" customHeight="1" x14ac:dyDescent="0.2">
      <c r="A77" s="109"/>
      <c r="B77" s="119" t="s">
        <v>564</v>
      </c>
      <c r="C77" s="173" t="s">
        <v>48</v>
      </c>
      <c r="D77" s="80"/>
      <c r="E77" s="819"/>
    </row>
    <row r="78" spans="1:5" ht="11.25" customHeight="1" x14ac:dyDescent="0.2">
      <c r="A78" s="109"/>
      <c r="B78" s="119" t="s">
        <v>561</v>
      </c>
      <c r="C78" s="173" t="s">
        <v>48</v>
      </c>
      <c r="D78" s="80"/>
      <c r="E78" s="819"/>
    </row>
    <row r="79" spans="1:5" ht="11.25" customHeight="1" x14ac:dyDescent="0.2">
      <c r="A79" s="109"/>
      <c r="B79" s="119" t="s">
        <v>565</v>
      </c>
      <c r="C79" s="173" t="s">
        <v>48</v>
      </c>
      <c r="D79" s="80"/>
      <c r="E79" s="819"/>
    </row>
    <row r="80" spans="1:5" ht="11.25" customHeight="1" x14ac:dyDescent="0.2">
      <c r="A80" s="109"/>
      <c r="B80" s="119" t="s">
        <v>568</v>
      </c>
      <c r="C80" s="173" t="s">
        <v>48</v>
      </c>
      <c r="D80" s="80"/>
      <c r="E80" s="819"/>
    </row>
    <row r="81" spans="1:5" ht="11.25" customHeight="1" x14ac:dyDescent="0.2">
      <c r="A81" s="111"/>
      <c r="B81" s="120" t="s">
        <v>697</v>
      </c>
      <c r="C81" s="180" t="s">
        <v>48</v>
      </c>
      <c r="D81" s="81"/>
      <c r="E81" s="820"/>
    </row>
    <row r="82" spans="1:5" ht="11.25" customHeight="1" x14ac:dyDescent="0.2">
      <c r="A82" s="107" t="s">
        <v>590</v>
      </c>
      <c r="B82" s="108"/>
      <c r="C82" s="173" t="s">
        <v>48</v>
      </c>
      <c r="D82" s="79">
        <f>SUM(Table2!M15)</f>
        <v>10141.94008526013</v>
      </c>
      <c r="E82" s="818"/>
    </row>
    <row r="83" spans="1:5" ht="11.25" customHeight="1" x14ac:dyDescent="0.2">
      <c r="A83" s="109"/>
      <c r="B83" s="119" t="s">
        <v>591</v>
      </c>
      <c r="C83" s="173" t="s">
        <v>48</v>
      </c>
      <c r="D83" s="80"/>
      <c r="E83" s="819"/>
    </row>
    <row r="84" spans="1:5" ht="11.25" customHeight="1" x14ac:dyDescent="0.2">
      <c r="A84" s="109"/>
      <c r="B84" s="119" t="s">
        <v>564</v>
      </c>
      <c r="C84" s="173" t="s">
        <v>48</v>
      </c>
      <c r="D84" s="80"/>
      <c r="E84" s="819"/>
    </row>
    <row r="85" spans="1:5" ht="11.25" customHeight="1" x14ac:dyDescent="0.2">
      <c r="A85" s="111"/>
      <c r="B85" s="120" t="s">
        <v>697</v>
      </c>
      <c r="C85" s="180" t="s">
        <v>48</v>
      </c>
      <c r="D85" s="81"/>
      <c r="E85" s="820"/>
    </row>
    <row r="86" spans="1:5" ht="11.25" customHeight="1" x14ac:dyDescent="0.2">
      <c r="A86" s="107" t="s">
        <v>592</v>
      </c>
      <c r="B86" s="108"/>
      <c r="C86" s="173" t="s">
        <v>48</v>
      </c>
      <c r="D86" s="79">
        <f>SUM(Table2!M16)</f>
        <v>24778.648239999999</v>
      </c>
      <c r="E86" s="818"/>
    </row>
    <row r="87" spans="1:5" ht="11.25" customHeight="1" x14ac:dyDescent="0.2">
      <c r="A87" s="109"/>
      <c r="B87" s="119" t="s">
        <v>599</v>
      </c>
      <c r="C87" s="173" t="s">
        <v>48</v>
      </c>
      <c r="D87" s="80"/>
      <c r="E87" s="819"/>
    </row>
    <row r="88" spans="1:5" ht="11.25" customHeight="1" x14ac:dyDescent="0.2">
      <c r="A88" s="109"/>
      <c r="B88" s="119" t="s">
        <v>567</v>
      </c>
      <c r="C88" s="173" t="s">
        <v>48</v>
      </c>
      <c r="D88" s="80"/>
      <c r="E88" s="819"/>
    </row>
    <row r="89" spans="1:5" ht="11.25" customHeight="1" x14ac:dyDescent="0.2">
      <c r="A89" s="111"/>
      <c r="B89" s="120" t="s">
        <v>697</v>
      </c>
      <c r="C89" s="180" t="s">
        <v>48</v>
      </c>
      <c r="D89" s="81"/>
      <c r="E89" s="820"/>
    </row>
    <row r="90" spans="1:5" ht="11.25" customHeight="1" x14ac:dyDescent="0.2">
      <c r="A90" s="107" t="s">
        <v>593</v>
      </c>
      <c r="B90" s="108"/>
      <c r="C90" s="173" t="s">
        <v>48</v>
      </c>
      <c r="D90" s="79">
        <f>SUM(Table2!M34)</f>
        <v>24371.890105999999</v>
      </c>
      <c r="E90" s="818"/>
    </row>
    <row r="91" spans="1:5" ht="11.25" customHeight="1" x14ac:dyDescent="0.2">
      <c r="A91" s="109"/>
      <c r="B91" s="119" t="s">
        <v>596</v>
      </c>
      <c r="C91" s="173" t="s">
        <v>48</v>
      </c>
      <c r="D91" s="80"/>
      <c r="E91" s="819"/>
    </row>
    <row r="92" spans="1:5" ht="11.25" customHeight="1" x14ac:dyDescent="0.2">
      <c r="A92" s="109"/>
      <c r="B92" s="119" t="s">
        <v>572</v>
      </c>
      <c r="C92" s="173" t="s">
        <v>48</v>
      </c>
      <c r="D92" s="80"/>
      <c r="E92" s="819"/>
    </row>
    <row r="93" spans="1:5" ht="11.25" customHeight="1" x14ac:dyDescent="0.2">
      <c r="A93" s="109"/>
      <c r="B93" s="119" t="s">
        <v>570</v>
      </c>
      <c r="C93" s="173" t="s">
        <v>48</v>
      </c>
      <c r="D93" s="80"/>
      <c r="E93" s="819"/>
    </row>
    <row r="94" spans="1:5" ht="11.25" customHeight="1" x14ac:dyDescent="0.2">
      <c r="A94" s="111"/>
      <c r="B94" s="120" t="s">
        <v>697</v>
      </c>
      <c r="C94" s="180" t="s">
        <v>48</v>
      </c>
      <c r="D94" s="81"/>
      <c r="E94" s="820"/>
    </row>
    <row r="95" spans="1:5" ht="11.25" customHeight="1" x14ac:dyDescent="0.2">
      <c r="A95" s="107" t="s">
        <v>597</v>
      </c>
      <c r="B95" s="108"/>
      <c r="C95" s="173" t="s">
        <v>48</v>
      </c>
      <c r="D95" s="79">
        <f>SUM(Table2!M50)</f>
        <v>0</v>
      </c>
      <c r="E95" s="818"/>
    </row>
    <row r="96" spans="1:5" ht="11.25" customHeight="1" x14ac:dyDescent="0.2">
      <c r="A96" s="109"/>
      <c r="B96" s="119" t="s">
        <v>598</v>
      </c>
      <c r="C96" s="173" t="s">
        <v>48</v>
      </c>
      <c r="D96" s="80"/>
      <c r="E96" s="819"/>
    </row>
    <row r="97" spans="1:5" ht="11.25" customHeight="1" x14ac:dyDescent="0.2">
      <c r="A97" s="109"/>
      <c r="B97" s="119" t="s">
        <v>569</v>
      </c>
      <c r="C97" s="173" t="s">
        <v>48</v>
      </c>
      <c r="D97" s="80"/>
      <c r="E97" s="819"/>
    </row>
    <row r="98" spans="1:5" ht="11.25" customHeight="1" x14ac:dyDescent="0.2">
      <c r="A98" s="112"/>
      <c r="B98" s="121" t="s">
        <v>697</v>
      </c>
      <c r="C98" s="351" t="s">
        <v>48</v>
      </c>
      <c r="D98" s="82"/>
      <c r="E98" s="821"/>
    </row>
    <row r="99" spans="1:5" ht="10.5" customHeight="1" x14ac:dyDescent="0.2">
      <c r="A99" s="257"/>
      <c r="B99" s="257"/>
      <c r="C99" s="257"/>
      <c r="D99" s="257"/>
    </row>
    <row r="100" spans="1:5" ht="15" hidden="1" customHeight="1" x14ac:dyDescent="0.2">
      <c r="A100" s="352" t="s">
        <v>602</v>
      </c>
      <c r="B100" s="353"/>
      <c r="C100" s="353"/>
      <c r="D100" s="354"/>
    </row>
    <row r="101" spans="1:5" ht="12.95" hidden="1" customHeight="1" x14ac:dyDescent="0.2">
      <c r="A101" s="355" t="s">
        <v>52</v>
      </c>
      <c r="B101" s="253"/>
      <c r="C101" s="253"/>
      <c r="D101" s="356"/>
    </row>
    <row r="102" spans="1:5" ht="12" hidden="1" customHeight="1" x14ac:dyDescent="0.2">
      <c r="A102" s="357"/>
      <c r="B102" s="357" t="s">
        <v>377</v>
      </c>
      <c r="C102" s="357" t="s">
        <v>48</v>
      </c>
      <c r="D102" s="358" t="e">
        <f>#REF!-Table2!M16</f>
        <v>#REF!</v>
      </c>
    </row>
    <row r="103" spans="1:5" ht="12.95" hidden="1" customHeight="1" x14ac:dyDescent="0.2">
      <c r="A103" s="355" t="s">
        <v>135</v>
      </c>
      <c r="B103" s="253"/>
      <c r="C103" s="359" t="s">
        <v>48</v>
      </c>
      <c r="D103" s="356"/>
    </row>
    <row r="104" spans="1:5" ht="12" hidden="1" customHeight="1" x14ac:dyDescent="0.2">
      <c r="A104" s="357"/>
      <c r="B104" s="357" t="s">
        <v>134</v>
      </c>
      <c r="C104" s="357" t="s">
        <v>48</v>
      </c>
      <c r="D104" s="358">
        <f>D7-Table2!M8-Table3!M9</f>
        <v>-265953.97044226015</v>
      </c>
    </row>
    <row r="105" spans="1:5" ht="12.95" hidden="1" customHeight="1" x14ac:dyDescent="0.2">
      <c r="A105" s="360" t="s">
        <v>74</v>
      </c>
      <c r="B105" s="257"/>
      <c r="C105" s="257" t="s">
        <v>48</v>
      </c>
      <c r="D105" s="356"/>
    </row>
    <row r="106" spans="1:5" ht="12" hidden="1" customHeight="1" x14ac:dyDescent="0.2">
      <c r="A106" s="253"/>
      <c r="B106" s="253" t="s">
        <v>367</v>
      </c>
      <c r="C106" s="253" t="s">
        <v>48</v>
      </c>
      <c r="D106" s="356">
        <f>+D8-SUM(D9:D98)</f>
        <v>-337821.49854199996</v>
      </c>
    </row>
    <row r="107" spans="1:5" ht="12" hidden="1" customHeight="1" x14ac:dyDescent="0.2">
      <c r="A107" s="253"/>
      <c r="B107" s="253" t="s">
        <v>368</v>
      </c>
      <c r="C107" s="253" t="s">
        <v>48</v>
      </c>
      <c r="D107" s="356" t="e">
        <f>+#REF!-SUM(#REF!)</f>
        <v>#REF!</v>
      </c>
    </row>
    <row r="108" spans="1:5" ht="12" hidden="1" customHeight="1" x14ac:dyDescent="0.2">
      <c r="A108" s="253"/>
      <c r="B108" s="253" t="s">
        <v>369</v>
      </c>
      <c r="C108" s="253" t="s">
        <v>48</v>
      </c>
      <c r="D108" s="356" t="e">
        <f>+#REF!-SUM(#REF!)</f>
        <v>#REF!</v>
      </c>
    </row>
    <row r="109" spans="1:5" ht="12" hidden="1" customHeight="1" x14ac:dyDescent="0.2">
      <c r="A109" s="253"/>
      <c r="B109" s="253" t="s">
        <v>370</v>
      </c>
      <c r="C109" s="253" t="s">
        <v>48</v>
      </c>
      <c r="D109" s="356" t="e">
        <f>+#REF!-SUM(#REF!)</f>
        <v>#REF!</v>
      </c>
    </row>
    <row r="110" spans="1:5" ht="12" hidden="1" customHeight="1" x14ac:dyDescent="0.2">
      <c r="A110" s="253"/>
      <c r="B110" s="253" t="s">
        <v>371</v>
      </c>
      <c r="C110" s="253" t="s">
        <v>48</v>
      </c>
      <c r="D110" s="356" t="e">
        <f>+#REF!-SUM(#REF!)</f>
        <v>#REF!</v>
      </c>
    </row>
    <row r="111" spans="1:5" ht="12" hidden="1" customHeight="1" x14ac:dyDescent="0.2">
      <c r="A111" s="253"/>
      <c r="B111" s="253" t="s">
        <v>372</v>
      </c>
      <c r="C111" s="253" t="s">
        <v>48</v>
      </c>
      <c r="D111" s="356" t="e">
        <f>+#REF!-SUM(#REF!)</f>
        <v>#REF!</v>
      </c>
    </row>
    <row r="112" spans="1:5" ht="12" hidden="1" customHeight="1" x14ac:dyDescent="0.2">
      <c r="A112" s="253"/>
      <c r="B112" s="253" t="s">
        <v>373</v>
      </c>
      <c r="C112" s="253" t="s">
        <v>48</v>
      </c>
      <c r="D112" s="356" t="e">
        <f>+#REF!-SUM(#REF!)</f>
        <v>#REF!</v>
      </c>
    </row>
    <row r="113" spans="1:4" ht="12" hidden="1" customHeight="1" x14ac:dyDescent="0.2">
      <c r="A113" s="253"/>
      <c r="B113" s="253" t="s">
        <v>374</v>
      </c>
      <c r="C113" s="253" t="s">
        <v>48</v>
      </c>
      <c r="D113" s="356" t="e">
        <f>+#REF!-SUM(#REF!)</f>
        <v>#REF!</v>
      </c>
    </row>
    <row r="114" spans="1:4" ht="12" hidden="1" customHeight="1" x14ac:dyDescent="0.2">
      <c r="A114" s="253"/>
      <c r="B114" s="253" t="s">
        <v>375</v>
      </c>
      <c r="C114" s="253" t="s">
        <v>48</v>
      </c>
      <c r="D114" s="356" t="e">
        <f>+#REF!-SUM(#REF!)</f>
        <v>#REF!</v>
      </c>
    </row>
    <row r="115" spans="1:4" ht="12" hidden="1" customHeight="1" x14ac:dyDescent="0.2">
      <c r="A115" s="218"/>
      <c r="B115" s="361" t="s">
        <v>376</v>
      </c>
      <c r="C115" s="362" t="s">
        <v>48</v>
      </c>
      <c r="D115" s="363" t="e">
        <f>+#REF!-SUM(#REF!)</f>
        <v>#REF!</v>
      </c>
    </row>
    <row r="116" spans="1:4" ht="12" hidden="1" customHeight="1" x14ac:dyDescent="0.2">
      <c r="A116" s="257" t="s">
        <v>120</v>
      </c>
    </row>
    <row r="117" spans="1:4" ht="12" hidden="1" customHeight="1" x14ac:dyDescent="0.2">
      <c r="A117" s="257" t="s">
        <v>124</v>
      </c>
    </row>
    <row r="118" spans="1:4" hidden="1" x14ac:dyDescent="0.2"/>
    <row r="119" spans="1:4" hidden="1" x14ac:dyDescent="0.2"/>
    <row r="120" spans="1:4" hidden="1" x14ac:dyDescent="0.2"/>
    <row r="121" spans="1:4" hidden="1" x14ac:dyDescent="0.2"/>
    <row r="122" spans="1:4" hidden="1" x14ac:dyDescent="0.2"/>
  </sheetData>
  <sheetProtection password="EECE" sheet="1" objects="1" scenarios="1" formatCells="0" formatColumns="0" formatRows="0"/>
  <customSheetViews>
    <customSheetView guid="{C3088B2E-F853-4D7E-B687-C6500891DFCB}" showPageBreaks="1" fitToPage="1" printArea="1" hiddenRows="1">
      <pane xSplit="3" ySplit="6" topLeftCell="D7" activePane="bottomRight" state="frozen"/>
      <selection pane="bottomRight" activeCell="D96" sqref="D96"/>
      <pageMargins left="0.47244094488188998" right="0.47244094488188998" top="0.59055118110236204" bottom="0.59055118110236204" header="0.39370078740157499" footer="0.39370078740157499"/>
      <pageSetup scale="88" fitToHeight="0" orientation="landscape" r:id="rId1"/>
      <headerFooter alignWithMargins="0">
        <oddFooter>&amp;L&amp;8&amp;D  &amp;T&amp;R&amp;8March 2014, Version 0.2</oddFooter>
      </headerFooter>
    </customSheetView>
    <customSheetView guid="{F866C9B2-56BF-4FE4-B270-CC8FE15A5892}" showPageBreaks="1" fitToPage="1" printArea="1" hiddenRows="1">
      <pane xSplit="2" ySplit="6" topLeftCell="D7" activePane="bottomRight" state="frozen"/>
      <selection pane="bottomRight" activeCell="D33" sqref="D33"/>
      <pageMargins left="0.47244094488188998" right="0.47244094488188998" top="0.59055118110236204" bottom="0.59055118110236204" header="0.39370078740157499" footer="0.39370078740157499"/>
      <pageSetup scale="88" fitToHeight="0" orientation="landscape" r:id="rId2"/>
      <headerFooter alignWithMargins="0">
        <oddFooter>&amp;L&amp;8&amp;D  &amp;T&amp;R&amp;8March 2014, Version 0.2</oddFooter>
      </headerFooter>
    </customSheetView>
    <customSheetView guid="{D66484CB-9D53-43A1-A83D-11534BC40BF6}" showPageBreaks="1" fitToPage="1" printArea="1" hiddenRows="1">
      <pane xSplit="3" ySplit="6" topLeftCell="D7" activePane="bottomRight" state="frozen"/>
      <selection pane="bottomRight" activeCell="D7" sqref="D7"/>
      <pageMargins left="0.47244094488188998" right="0.47244094488188998" top="0.59055118110236204" bottom="0.59055118110236204" header="0.39370078740157499" footer="0.39370078740157499"/>
      <pageSetup scale="88" fitToHeight="0" orientation="landscape" r:id="rId3"/>
      <headerFooter alignWithMargins="0">
        <oddFooter>&amp;L&amp;8&amp;D  &amp;T&amp;R&amp;8March 2014, Version 0.2</oddFooter>
      </headerFooter>
    </customSheetView>
  </customSheetViews>
  <mergeCells count="27">
    <mergeCell ref="E90:E94"/>
    <mergeCell ref="E95:E98"/>
    <mergeCell ref="E58:E61"/>
    <mergeCell ref="E62:E65"/>
    <mergeCell ref="E66:E70"/>
    <mergeCell ref="E71:E74"/>
    <mergeCell ref="E75:E81"/>
    <mergeCell ref="E48:E50"/>
    <mergeCell ref="E51:E53"/>
    <mergeCell ref="E54:E56"/>
    <mergeCell ref="E82:E85"/>
    <mergeCell ref="E86:E89"/>
    <mergeCell ref="E31:E33"/>
    <mergeCell ref="E34:E36"/>
    <mergeCell ref="E38:E40"/>
    <mergeCell ref="E41:E43"/>
    <mergeCell ref="E44:E46"/>
    <mergeCell ref="E14:E16"/>
    <mergeCell ref="E18:E20"/>
    <mergeCell ref="E21:E23"/>
    <mergeCell ref="E24:E26"/>
    <mergeCell ref="E27:E29"/>
    <mergeCell ref="E4:E5"/>
    <mergeCell ref="A4:B5"/>
    <mergeCell ref="D4:D5"/>
    <mergeCell ref="E8:E10"/>
    <mergeCell ref="E11:E13"/>
  </mergeCells>
  <pageMargins left="0.47244094488188998" right="0.47244094488188998" top="0.59055118110236204" bottom="0.59055118110236204" header="0.39370078740157499" footer="0.39370078740157499"/>
  <pageSetup scale="88" fitToHeight="0" orientation="landscape" r:id="rId4"/>
  <headerFooter alignWithMargins="0">
    <oddFooter>&amp;L&amp;8&amp;D  &amp;T&amp;R&amp;8March 2014, Version 0.2</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D169"/>
  <sheetViews>
    <sheetView topLeftCell="A142" workbookViewId="0">
      <selection activeCell="L162" sqref="L162"/>
    </sheetView>
  </sheetViews>
  <sheetFormatPr baseColWidth="10" defaultColWidth="9.140625" defaultRowHeight="12.75" x14ac:dyDescent="0.2"/>
  <cols>
    <col min="2" max="2" width="26.85546875" bestFit="1" customWidth="1"/>
  </cols>
  <sheetData>
    <row r="1" spans="1:4" x14ac:dyDescent="0.2">
      <c r="A1" s="65" t="s">
        <v>153</v>
      </c>
    </row>
    <row r="3" spans="1:4" x14ac:dyDescent="0.2">
      <c r="A3" t="s">
        <v>154</v>
      </c>
    </row>
    <row r="5" spans="1:4" x14ac:dyDescent="0.2">
      <c r="C5" s="66" t="s">
        <v>155</v>
      </c>
      <c r="D5" s="66" t="s">
        <v>156</v>
      </c>
    </row>
    <row r="6" spans="1:4" x14ac:dyDescent="0.2">
      <c r="B6" t="s">
        <v>157</v>
      </c>
      <c r="C6" s="66"/>
      <c r="D6" s="66"/>
    </row>
    <row r="7" spans="1:4" x14ac:dyDescent="0.2">
      <c r="B7" s="67" t="s">
        <v>47</v>
      </c>
      <c r="C7" s="68">
        <f>+ROUND(StatementI!F22,1)</f>
        <v>290.2</v>
      </c>
      <c r="D7" s="68">
        <f>+ROUND(StatementI!K22,1)</f>
        <v>3090.7</v>
      </c>
    </row>
    <row r="8" spans="1:4" x14ac:dyDescent="0.2">
      <c r="B8" s="67" t="s">
        <v>37</v>
      </c>
      <c r="C8" s="68">
        <f>+ROUND(StatementI!F23,1)</f>
        <v>290.2</v>
      </c>
      <c r="D8" s="68">
        <f>+ROUND(StatementI!K23,1)</f>
        <v>3090.7</v>
      </c>
    </row>
    <row r="9" spans="1:4" x14ac:dyDescent="0.2">
      <c r="B9" s="67" t="s">
        <v>158</v>
      </c>
      <c r="C9" s="68">
        <f>+ROUND(StatementI!F25,1)</f>
        <v>0</v>
      </c>
      <c r="D9" s="68">
        <f>+ROUND(StatementI!K25,2)</f>
        <v>0</v>
      </c>
    </row>
    <row r="10" spans="1:4" x14ac:dyDescent="0.2">
      <c r="B10" s="67" t="s">
        <v>38</v>
      </c>
      <c r="C10" s="68">
        <f>+ROUND(StatementI!F31,1)</f>
        <v>290.2</v>
      </c>
      <c r="D10" s="68">
        <f>+ROUND(StatementI!K31,2)</f>
        <v>3090.74</v>
      </c>
    </row>
    <row r="11" spans="1:4" x14ac:dyDescent="0.2">
      <c r="B11" s="67" t="s">
        <v>159</v>
      </c>
      <c r="C11" s="68">
        <f>ROUND(+StatementI!F33-StatementI!F36,1)</f>
        <v>-1697.6</v>
      </c>
      <c r="D11" s="68">
        <f>ROUND(+StatementI!K33-StatementI!K36,1)</f>
        <v>-845</v>
      </c>
    </row>
    <row r="12" spans="1:4" x14ac:dyDescent="0.2">
      <c r="B12" t="s">
        <v>160</v>
      </c>
      <c r="C12" s="68"/>
      <c r="D12" s="68"/>
    </row>
    <row r="13" spans="1:4" x14ac:dyDescent="0.2">
      <c r="B13" s="67" t="s">
        <v>31</v>
      </c>
      <c r="C13" s="68">
        <f>ROUND(+StatementIII!F17,1)</f>
        <v>-1383</v>
      </c>
      <c r="D13" s="68">
        <f>ROUND(+StatementIII!K17,1)</f>
        <v>-10931.6</v>
      </c>
    </row>
    <row r="14" spans="1:4" x14ac:dyDescent="0.2">
      <c r="B14" s="67" t="s">
        <v>158</v>
      </c>
      <c r="C14" s="68" t="e">
        <f>ROUND(+#REF!,1)</f>
        <v>#REF!</v>
      </c>
      <c r="D14" s="68" t="e">
        <f>ROUND(+#REF!,1)</f>
        <v>#REF!</v>
      </c>
    </row>
    <row r="15" spans="1:4" x14ac:dyDescent="0.2">
      <c r="B15" s="67" t="s">
        <v>32</v>
      </c>
      <c r="C15" s="68" t="e">
        <f>ROUND(+#REF!,1)</f>
        <v>#REF!</v>
      </c>
      <c r="D15" s="68" t="e">
        <f>ROUND(+#REF!,1)</f>
        <v>#REF!</v>
      </c>
    </row>
    <row r="16" spans="1:4" x14ac:dyDescent="0.2">
      <c r="B16" s="67" t="s">
        <v>159</v>
      </c>
      <c r="C16" s="68" t="e">
        <f>ROUND(+#REF!+#REF!-StatementIII!F26,1)</f>
        <v>#REF!</v>
      </c>
      <c r="D16" s="68" t="e">
        <f>ROUND(+#REF!+#REF!-StatementIII!K26,1)</f>
        <v>#REF!</v>
      </c>
    </row>
    <row r="17" spans="2:4" x14ac:dyDescent="0.2">
      <c r="B17" t="s">
        <v>161</v>
      </c>
      <c r="C17" s="68"/>
      <c r="D17" s="68"/>
    </row>
    <row r="18" spans="2:4" x14ac:dyDescent="0.2">
      <c r="B18" s="67" t="s">
        <v>158</v>
      </c>
      <c r="C18" s="68">
        <f>ROUND(+Table3!G8,1)</f>
        <v>-1697.6</v>
      </c>
      <c r="D18" s="68">
        <f>ROUND(+Table3!L8,1)</f>
        <v>-845</v>
      </c>
    </row>
    <row r="19" spans="2:4" x14ac:dyDescent="0.2">
      <c r="B19" s="67" t="s">
        <v>159</v>
      </c>
      <c r="C19" s="68">
        <f>ROUND(+Table3!G22-Table3!G49,1)</f>
        <v>-1697.6</v>
      </c>
      <c r="D19" s="68">
        <f>ROUND(+Table3!L22-Table3!L49,1)</f>
        <v>-845</v>
      </c>
    </row>
    <row r="20" spans="2:4" x14ac:dyDescent="0.2">
      <c r="B20" t="s">
        <v>162</v>
      </c>
      <c r="C20" s="68"/>
      <c r="D20" s="68"/>
    </row>
    <row r="21" spans="2:4" x14ac:dyDescent="0.2">
      <c r="B21" s="67" t="s">
        <v>163</v>
      </c>
      <c r="C21" s="68">
        <f>ROUND(+Table4!G8,1)</f>
        <v>0</v>
      </c>
      <c r="D21" s="68">
        <f>ROUND(+Table4!L8,1)</f>
        <v>0</v>
      </c>
    </row>
    <row r="22" spans="2:4" x14ac:dyDescent="0.2">
      <c r="B22" s="67" t="s">
        <v>164</v>
      </c>
      <c r="C22" s="68">
        <f>ROUND(+Table4!G14-Table4!G25,1)</f>
        <v>0</v>
      </c>
      <c r="D22" s="68">
        <f>ROUND(+Table4!L14-Table4!L25,1)</f>
        <v>0</v>
      </c>
    </row>
    <row r="23" spans="2:4" x14ac:dyDescent="0.2">
      <c r="B23" t="s">
        <v>165</v>
      </c>
      <c r="C23" s="68"/>
      <c r="D23" s="68"/>
    </row>
    <row r="24" spans="2:4" x14ac:dyDescent="0.2">
      <c r="B24" s="67" t="s">
        <v>166</v>
      </c>
      <c r="C24" s="68">
        <f>ROUND(+Table5!G8,1)</f>
        <v>0</v>
      </c>
      <c r="D24" s="68">
        <f>ROUND(+Table5!L8,1)</f>
        <v>0</v>
      </c>
    </row>
    <row r="25" spans="2:4" x14ac:dyDescent="0.2">
      <c r="B25" s="67" t="s">
        <v>167</v>
      </c>
      <c r="C25" s="68">
        <f>ROUND(+Table5!G14-Table5!G25,1)</f>
        <v>0</v>
      </c>
      <c r="D25" s="68">
        <f>ROUND(+Table5!L14-Table5!L25,1)</f>
        <v>0</v>
      </c>
    </row>
    <row r="26" spans="2:4" x14ac:dyDescent="0.2">
      <c r="B26" t="s">
        <v>168</v>
      </c>
      <c r="C26" s="68"/>
      <c r="D26" s="68"/>
    </row>
    <row r="27" spans="2:4" x14ac:dyDescent="0.2">
      <c r="B27" s="67" t="s">
        <v>169</v>
      </c>
      <c r="C27" s="68">
        <f>ROUND(+Table6!G8,1)</f>
        <v>75.900000000000006</v>
      </c>
      <c r="D27" s="68">
        <f>ROUND(+Table6!L8,1)</f>
        <v>115.1</v>
      </c>
    </row>
    <row r="28" spans="2:4" x14ac:dyDescent="0.2">
      <c r="B28" s="67" t="s">
        <v>170</v>
      </c>
      <c r="C28" s="68">
        <f>ROUND(+Table6!G22-Table6!G49,1)</f>
        <v>75.900000000000006</v>
      </c>
      <c r="D28" s="68">
        <f>ROUND(+Table6!L22-Table6!L49,1)</f>
        <v>115.1</v>
      </c>
    </row>
    <row r="29" spans="2:4" x14ac:dyDescent="0.2">
      <c r="B29" t="s">
        <v>171</v>
      </c>
      <c r="C29" s="68"/>
      <c r="D29" s="68"/>
    </row>
    <row r="30" spans="2:4" x14ac:dyDescent="0.2">
      <c r="B30" s="67" t="s">
        <v>172</v>
      </c>
      <c r="C30" s="68">
        <f>ROUND(+Table8A!G8-Table8A!G27,1)</f>
        <v>-1697.6</v>
      </c>
      <c r="D30" s="68">
        <f>ROUND(+Table8A!L8-Table8A!L27,1)</f>
        <v>-845</v>
      </c>
    </row>
    <row r="31" spans="2:4" x14ac:dyDescent="0.2">
      <c r="B31" t="s">
        <v>173</v>
      </c>
      <c r="C31" s="68"/>
      <c r="D31" s="68"/>
    </row>
    <row r="32" spans="2:4" x14ac:dyDescent="0.2">
      <c r="B32" s="67" t="s">
        <v>174</v>
      </c>
      <c r="C32" s="68">
        <f>ROUND(+Table9!G8,1)</f>
        <v>0</v>
      </c>
      <c r="D32" s="68">
        <f>ROUND(+Table9!L8,1)</f>
        <v>0</v>
      </c>
    </row>
    <row r="33" spans="1:4" x14ac:dyDescent="0.2">
      <c r="B33" s="67" t="s">
        <v>175</v>
      </c>
      <c r="C33" s="68">
        <f>ROUND(+Table6!G22-Table6!G49,1)</f>
        <v>75.900000000000006</v>
      </c>
      <c r="D33" s="68">
        <f>ROUND(+Table6!L22-Table6!L49,1)</f>
        <v>115.1</v>
      </c>
    </row>
    <row r="35" spans="1:4" x14ac:dyDescent="0.2">
      <c r="A35" s="65" t="s">
        <v>176</v>
      </c>
    </row>
    <row r="37" spans="1:4" x14ac:dyDescent="0.2">
      <c r="A37" t="s">
        <v>177</v>
      </c>
    </row>
    <row r="39" spans="1:4" x14ac:dyDescent="0.2">
      <c r="C39" s="66" t="s">
        <v>155</v>
      </c>
      <c r="D39" s="66" t="s">
        <v>156</v>
      </c>
    </row>
    <row r="40" spans="1:4" x14ac:dyDescent="0.2">
      <c r="B40" t="s">
        <v>178</v>
      </c>
    </row>
    <row r="41" spans="1:4" x14ac:dyDescent="0.2">
      <c r="B41" s="67" t="s">
        <v>179</v>
      </c>
      <c r="D41" s="68">
        <f>ROUND(+Table1!M59,1)</f>
        <v>1423</v>
      </c>
    </row>
    <row r="42" spans="1:4" x14ac:dyDescent="0.2">
      <c r="B42" s="67" t="s">
        <v>180</v>
      </c>
      <c r="D42" s="68">
        <f>ROUND(+Table1!M60,1)</f>
        <v>1278.7</v>
      </c>
    </row>
    <row r="43" spans="1:4" x14ac:dyDescent="0.2">
      <c r="B43" s="67" t="s">
        <v>181</v>
      </c>
      <c r="D43" s="68">
        <f>ROUND(+Table1!M61,1)</f>
        <v>144.30000000000001</v>
      </c>
    </row>
    <row r="44" spans="1:4" x14ac:dyDescent="0.2">
      <c r="B44" t="s">
        <v>182</v>
      </c>
      <c r="D44" s="68"/>
    </row>
    <row r="45" spans="1:4" x14ac:dyDescent="0.2">
      <c r="B45" s="67" t="s">
        <v>183</v>
      </c>
      <c r="D45" s="68">
        <f>ROUND(+Table2!M19,1)</f>
        <v>683.1</v>
      </c>
    </row>
    <row r="46" spans="1:4" x14ac:dyDescent="0.2">
      <c r="B46" s="67" t="s">
        <v>184</v>
      </c>
      <c r="D46" s="68">
        <f>ROUND(+Table2!M31,1)</f>
        <v>18286.099999999999</v>
      </c>
    </row>
    <row r="47" spans="1:4" x14ac:dyDescent="0.2">
      <c r="B47" s="67" t="s">
        <v>185</v>
      </c>
      <c r="D47" s="68">
        <f>ROUND(+Table2!M32,1)</f>
        <v>20061.3</v>
      </c>
    </row>
    <row r="48" spans="1:4" x14ac:dyDescent="0.2">
      <c r="B48" s="67" t="s">
        <v>186</v>
      </c>
      <c r="D48" s="68">
        <f>ROUND(+Table2!M33,1)</f>
        <v>-1775.2</v>
      </c>
    </row>
    <row r="49" spans="1:4" x14ac:dyDescent="0.2">
      <c r="B49" t="s">
        <v>187</v>
      </c>
      <c r="D49" s="68"/>
    </row>
    <row r="50" spans="1:4" x14ac:dyDescent="0.2">
      <c r="B50" s="67" t="s">
        <v>188</v>
      </c>
      <c r="D50" s="68" t="e">
        <f>ROUND(+Table7!M17,1)</f>
        <v>#VALUE!</v>
      </c>
    </row>
    <row r="51" spans="1:4" x14ac:dyDescent="0.2">
      <c r="B51" t="s">
        <v>171</v>
      </c>
      <c r="D51" s="68"/>
    </row>
    <row r="52" spans="1:4" x14ac:dyDescent="0.2">
      <c r="B52" s="67" t="s">
        <v>189</v>
      </c>
      <c r="D52" s="68">
        <f>ROUND(+Table8A!M10,1)</f>
        <v>-2758.3</v>
      </c>
    </row>
    <row r="53" spans="1:4" x14ac:dyDescent="0.2">
      <c r="B53" s="67" t="s">
        <v>190</v>
      </c>
      <c r="D53" s="68">
        <f>ROUND(+Table8A!M29,1)</f>
        <v>-215.8</v>
      </c>
    </row>
    <row r="55" spans="1:4" x14ac:dyDescent="0.2">
      <c r="A55" s="65" t="s">
        <v>191</v>
      </c>
    </row>
    <row r="57" spans="1:4" x14ac:dyDescent="0.2">
      <c r="A57" t="s">
        <v>154</v>
      </c>
    </row>
    <row r="59" spans="1:4" x14ac:dyDescent="0.2">
      <c r="C59" s="66" t="s">
        <v>155</v>
      </c>
      <c r="D59" s="66" t="s">
        <v>156</v>
      </c>
    </row>
    <row r="60" spans="1:4" x14ac:dyDescent="0.2">
      <c r="B60" t="s">
        <v>157</v>
      </c>
    </row>
    <row r="61" spans="1:4" x14ac:dyDescent="0.2">
      <c r="B61" s="67" t="s">
        <v>192</v>
      </c>
      <c r="C61" s="68">
        <f>ROUND(+StatementI!F10,1)</f>
        <v>0</v>
      </c>
      <c r="D61" s="68">
        <f>ROUND(+StatementI!K10,1)</f>
        <v>0</v>
      </c>
    </row>
    <row r="62" spans="1:4" x14ac:dyDescent="0.2">
      <c r="B62" s="67" t="s">
        <v>193</v>
      </c>
      <c r="C62" s="68">
        <f>ROUND(+StatementI!F14,1)</f>
        <v>-3.8</v>
      </c>
      <c r="D62" s="68">
        <f>ROUND(+StatementI!K14,1)</f>
        <v>-4</v>
      </c>
    </row>
    <row r="63" spans="1:4" x14ac:dyDescent="0.2">
      <c r="B63" s="67" t="s">
        <v>194</v>
      </c>
      <c r="C63" s="68">
        <f>ROUND(+StatementI!F18,1)</f>
        <v>0</v>
      </c>
      <c r="D63" s="68">
        <f>ROUND(+StatementI!K18,1)</f>
        <v>0</v>
      </c>
    </row>
    <row r="64" spans="1:4" x14ac:dyDescent="0.2">
      <c r="B64" s="67" t="s">
        <v>195</v>
      </c>
      <c r="C64" s="68">
        <f>ROUND(+StatementI!F20,1)</f>
        <v>0</v>
      </c>
      <c r="D64" s="68">
        <f>ROUND(+StatementI!K20,1)</f>
        <v>0</v>
      </c>
    </row>
    <row r="65" spans="2:4" x14ac:dyDescent="0.2">
      <c r="B65" s="67" t="s">
        <v>196</v>
      </c>
      <c r="C65" s="68">
        <f>ROUND(+StatementI!F35,1)</f>
        <v>0</v>
      </c>
      <c r="D65" s="68">
        <f>ROUND(+StatementI!K35,1)</f>
        <v>0</v>
      </c>
    </row>
    <row r="66" spans="2:4" x14ac:dyDescent="0.2">
      <c r="B66" s="67" t="s">
        <v>197</v>
      </c>
      <c r="C66" s="68">
        <f>ROUND(+StatementI!F38,1)</f>
        <v>0</v>
      </c>
      <c r="D66" s="68">
        <f>ROUND(+StatementI!K38,1)</f>
        <v>0</v>
      </c>
    </row>
    <row r="67" spans="2:4" x14ac:dyDescent="0.2">
      <c r="B67" t="s">
        <v>160</v>
      </c>
      <c r="C67" s="68"/>
      <c r="D67" s="68"/>
    </row>
    <row r="68" spans="2:4" x14ac:dyDescent="0.2">
      <c r="B68" s="67" t="s">
        <v>192</v>
      </c>
      <c r="C68" s="68" t="e">
        <f>ROUND(+#REF!,1)</f>
        <v>#REF!</v>
      </c>
      <c r="D68" s="68" t="e">
        <f>ROUND(+#REF!,1)</f>
        <v>#REF!</v>
      </c>
    </row>
    <row r="69" spans="2:4" x14ac:dyDescent="0.2">
      <c r="B69" s="67" t="s">
        <v>193</v>
      </c>
      <c r="C69" s="68">
        <f>ROUND(+StatementIII!F12,1)</f>
        <v>0</v>
      </c>
      <c r="D69" s="68">
        <f>ROUND(+StatementIII!K12,1)</f>
        <v>0</v>
      </c>
    </row>
    <row r="70" spans="2:4" x14ac:dyDescent="0.2">
      <c r="B70" s="67" t="s">
        <v>194</v>
      </c>
      <c r="C70" s="68">
        <f>ROUND(+StatementIII!F15,1)</f>
        <v>-1913.4</v>
      </c>
      <c r="D70" s="68">
        <f>ROUND(+StatementIII!K15,1)</f>
        <v>-845</v>
      </c>
    </row>
    <row r="71" spans="2:4" x14ac:dyDescent="0.2">
      <c r="B71" s="67" t="s">
        <v>195</v>
      </c>
      <c r="C71" s="68" t="e">
        <f>ROUND(+#REF!,1)</f>
        <v>#REF!</v>
      </c>
      <c r="D71" s="68" t="e">
        <f>ROUND(+#REF!,1)</f>
        <v>#REF!</v>
      </c>
    </row>
    <row r="72" spans="2:4" x14ac:dyDescent="0.2">
      <c r="B72" s="67" t="s">
        <v>196</v>
      </c>
      <c r="C72" s="68" t="e">
        <f>ROUND(+#REF!,1)</f>
        <v>#REF!</v>
      </c>
      <c r="D72" s="68" t="e">
        <f>ROUND(+#REF!,1)</f>
        <v>#REF!</v>
      </c>
    </row>
    <row r="73" spans="2:4" x14ac:dyDescent="0.2">
      <c r="B73" s="67" t="s">
        <v>197</v>
      </c>
      <c r="C73" s="68">
        <f>ROUND(+StatementIII!F28,1)</f>
        <v>-1697.6</v>
      </c>
      <c r="D73" s="68">
        <f>ROUND(+StatementIII!K28,1)</f>
        <v>-845</v>
      </c>
    </row>
    <row r="74" spans="2:4" x14ac:dyDescent="0.2">
      <c r="B74" t="s">
        <v>178</v>
      </c>
      <c r="C74" s="68"/>
      <c r="D74" s="68"/>
    </row>
    <row r="75" spans="2:4" x14ac:dyDescent="0.2">
      <c r="B75" s="67" t="s">
        <v>198</v>
      </c>
      <c r="C75" s="68">
        <f t="array" ref="C75">ROUND(+SUM(ABS(Table1!G11:G13)),1)</f>
        <v>0</v>
      </c>
      <c r="D75" s="68">
        <f t="array" ref="D75">ROUND(+SUM(ABS(Table1!L11:L13)),1)</f>
        <v>0</v>
      </c>
    </row>
    <row r="76" spans="2:4" x14ac:dyDescent="0.2">
      <c r="B76" s="67" t="s">
        <v>199</v>
      </c>
      <c r="C76" s="68">
        <f t="array" ref="C76">ROUND(+SUM(ABS(Table1!G42:G51)),1)</f>
        <v>0</v>
      </c>
      <c r="D76" s="68">
        <f t="array" ref="D76">ROUND(+SUM(ABS(Table1!L42:L51)),1)</f>
        <v>0</v>
      </c>
    </row>
    <row r="77" spans="2:4" x14ac:dyDescent="0.2">
      <c r="B77" s="67" t="s">
        <v>200</v>
      </c>
      <c r="C77" s="68">
        <f t="array" ref="C77">ROUND(+SUM(ABS(Table1!G53:G58)),1)</f>
        <v>0</v>
      </c>
      <c r="D77" s="68">
        <f t="array" ref="D77">ROUND(+SUM(ABS(Table1!L53:L58)),1)</f>
        <v>0</v>
      </c>
    </row>
    <row r="78" spans="2:4" x14ac:dyDescent="0.2">
      <c r="B78" s="67" t="s">
        <v>201</v>
      </c>
      <c r="C78" s="68">
        <f>+ROUND(Table1!G68,1)</f>
        <v>0</v>
      </c>
      <c r="D78" s="68">
        <f>+ROUND(Table1!L68,1)</f>
        <v>0</v>
      </c>
    </row>
    <row r="79" spans="2:4" x14ac:dyDescent="0.2">
      <c r="B79" s="67" t="s">
        <v>202</v>
      </c>
      <c r="C79" s="68">
        <f>+ROUND(Table1!G69,1)</f>
        <v>0</v>
      </c>
      <c r="D79" s="68">
        <f>+ROUND(Table1!L69,1)</f>
        <v>0</v>
      </c>
    </row>
    <row r="80" spans="2:4" x14ac:dyDescent="0.2">
      <c r="B80" s="67" t="s">
        <v>203</v>
      </c>
      <c r="C80" s="68">
        <f>+ROUND(Table1!G70,1)</f>
        <v>0</v>
      </c>
      <c r="D80" s="68">
        <f>+ROUND(Table1!L70,1)</f>
        <v>0</v>
      </c>
    </row>
    <row r="81" spans="2:4" x14ac:dyDescent="0.2">
      <c r="B81" s="67" t="s">
        <v>204</v>
      </c>
      <c r="C81" s="68" t="e">
        <f t="array" ref="C81">+ROUND(SUM(ABS(Table1!G79:G83)),1)</f>
        <v>#VALUE!</v>
      </c>
      <c r="D81" s="68" t="e">
        <f t="array" ref="D81">+ROUND(SUM(ABS(Table1!L79:L83)),1)</f>
        <v>#VALUE!</v>
      </c>
    </row>
    <row r="82" spans="2:4" x14ac:dyDescent="0.2">
      <c r="B82" t="s">
        <v>182</v>
      </c>
      <c r="C82" s="68"/>
      <c r="D82" s="68"/>
    </row>
    <row r="83" spans="2:4" x14ac:dyDescent="0.2">
      <c r="B83" s="67" t="s">
        <v>205</v>
      </c>
      <c r="C83" s="68">
        <f t="array" ref="C83">+ROUND(SUM(ABS(Table2!G9:G13)),1)</f>
        <v>11.4</v>
      </c>
      <c r="D83" s="68">
        <f t="array" ref="D83">+ROUND(SUM(ABS(Table2!L9:L13)),1)</f>
        <v>11.9</v>
      </c>
    </row>
    <row r="84" spans="2:4" x14ac:dyDescent="0.2">
      <c r="B84" s="67" t="s">
        <v>206</v>
      </c>
      <c r="C84" s="68">
        <f>ROUND(+Table2!G17,1)</f>
        <v>0</v>
      </c>
      <c r="D84" s="68">
        <f>ROUND(+Table2!L17,1)</f>
        <v>-0.9</v>
      </c>
    </row>
    <row r="85" spans="2:4" x14ac:dyDescent="0.2">
      <c r="B85" s="67" t="s">
        <v>207</v>
      </c>
      <c r="C85" s="68">
        <f>ROUND(+Table2!G18,1)</f>
        <v>0</v>
      </c>
      <c r="D85" s="68">
        <f>ROUND(+Table2!L18,1)</f>
        <v>-182.6</v>
      </c>
    </row>
    <row r="86" spans="2:4" x14ac:dyDescent="0.2">
      <c r="B86" s="67" t="s">
        <v>208</v>
      </c>
      <c r="C86" s="68">
        <f t="array" ref="C86">ROUND(+SUM(ABS(Table2!G20:G23)),1)</f>
        <v>0</v>
      </c>
      <c r="D86" s="68">
        <f t="array" ref="D86">ROUND(+SUM(ABS(Table2!L20:L23)),1)</f>
        <v>0</v>
      </c>
    </row>
    <row r="87" spans="2:4" x14ac:dyDescent="0.2">
      <c r="B87" s="67" t="s">
        <v>209</v>
      </c>
      <c r="C87" s="68">
        <f t="array" ref="C87">ROUND(+SUM(ABS(Table2!G25:G30)),1)</f>
        <v>0</v>
      </c>
      <c r="D87" s="68">
        <f t="array" ref="D87">ROUND(+SUM(ABS(Table2!L25:L30)),1)</f>
        <v>0</v>
      </c>
    </row>
    <row r="88" spans="2:4" x14ac:dyDescent="0.2">
      <c r="B88" s="67" t="s">
        <v>210</v>
      </c>
      <c r="C88" s="68">
        <f t="array" ref="C88">ROUND(+SUM(ABS(Table2!G34:G37)),1)</f>
        <v>0</v>
      </c>
      <c r="D88" s="68">
        <f t="array" ref="D88">ROUND(+SUM(ABS(Table2!L34:L37)),1)</f>
        <v>0</v>
      </c>
    </row>
    <row r="89" spans="2:4" x14ac:dyDescent="0.2">
      <c r="B89" t="s">
        <v>161</v>
      </c>
      <c r="C89" s="68"/>
      <c r="D89" s="68"/>
    </row>
    <row r="90" spans="2:4" x14ac:dyDescent="0.2">
      <c r="B90" s="67" t="s">
        <v>211</v>
      </c>
      <c r="C90" s="68">
        <f>ROUND(+ABS(Table3!G9)+ABS(Table3!G10)+ABS(Table3!G11)+ABS(Table3!G12)+ABS(Table3!G13)+ABS(Table3!G15)+ABS(Table3!G16)+ABS(Table3!G17)+ABS(Table3!G18)+ABS(Table3!G19)+ABS(Table3!G20)+ABS(Table3!G21),1)</f>
        <v>0</v>
      </c>
      <c r="D90" s="68">
        <f>ROUND(+ABS(Table3!L9)+ABS(Table3!L10)+ABS(Table3!L11)+ABS(Table3!L12)+ABS(Table3!L13)+ABS(Table3!L15)+ABS(Table3!L16)+ABS(Table3!L17)+ABS(Table3!L18)+ABS(Table3!L19)+ABS(Table3!L20)+ABS(Table3!L21),1)</f>
        <v>0</v>
      </c>
    </row>
    <row r="91" spans="2:4" x14ac:dyDescent="0.2">
      <c r="B91" s="67" t="s">
        <v>138</v>
      </c>
      <c r="C91" s="68">
        <f t="array" ref="C91">ROUND(+SUM(ABS(Table3!G40:G48)),1)</f>
        <v>0</v>
      </c>
      <c r="D91" s="68">
        <f t="array" ref="D91">ROUND(+SUM(ABS(Table3!L40:L48)),1)</f>
        <v>0</v>
      </c>
    </row>
    <row r="92" spans="2:4" x14ac:dyDescent="0.2">
      <c r="B92" s="67" t="s">
        <v>212</v>
      </c>
      <c r="C92" s="68">
        <f t="array" ref="C92">ROUND(+SUM(ABS(Table3!G71:G79)),1)</f>
        <v>0</v>
      </c>
      <c r="D92" s="68">
        <f t="array" ref="D92">ROUND(+SUM(ABS(Table3!L71:L79)),1)</f>
        <v>0</v>
      </c>
    </row>
    <row r="93" spans="2:4" x14ac:dyDescent="0.2">
      <c r="B93" t="s">
        <v>162</v>
      </c>
      <c r="C93" s="68"/>
      <c r="D93" s="68"/>
    </row>
    <row r="94" spans="2:4" x14ac:dyDescent="0.2">
      <c r="B94" s="67" t="s">
        <v>213</v>
      </c>
      <c r="C94" s="68" t="e">
        <f t="array" ref="C94">ROUND(+SUM(ABS(Table4!G9:G13)),1)</f>
        <v>#VALUE!</v>
      </c>
      <c r="D94" s="68" t="e">
        <f t="array" ref="D94">ROUND(+SUM(ABS(Table4!L9:L13)),1)</f>
        <v>#VALUE!</v>
      </c>
    </row>
    <row r="95" spans="2:4" x14ac:dyDescent="0.2">
      <c r="B95" s="67" t="s">
        <v>214</v>
      </c>
      <c r="C95" s="68" t="e">
        <f t="array" ref="C95">ROUND(+SUM(ABS(Table4!G24:G24)),1)</f>
        <v>#VALUE!</v>
      </c>
      <c r="D95" s="68" t="e">
        <f t="array" ref="D95">ROUND(+SUM(ABS(Table4!L24:L24)),1)</f>
        <v>#VALUE!</v>
      </c>
    </row>
    <row r="96" spans="2:4" x14ac:dyDescent="0.2">
      <c r="B96" s="67" t="s">
        <v>215</v>
      </c>
      <c r="C96" s="68" t="e">
        <f t="array" ref="C96">ROUND(+SUM(ABS(Table4!G35:G35)),1)</f>
        <v>#VALUE!</v>
      </c>
      <c r="D96" s="68" t="e">
        <f t="array" ref="D96">ROUND(+SUM(ABS(Table4!L35:L35)),1)</f>
        <v>#VALUE!</v>
      </c>
    </row>
    <row r="97" spans="2:4" x14ac:dyDescent="0.2">
      <c r="B97" t="s">
        <v>165</v>
      </c>
      <c r="C97" s="68"/>
      <c r="D97" s="68"/>
    </row>
    <row r="98" spans="2:4" x14ac:dyDescent="0.2">
      <c r="B98" s="67" t="s">
        <v>216</v>
      </c>
      <c r="C98" s="68" t="e">
        <f t="array" ref="C98">ROUND(+SUM(ABS(Table5!G9:G13)),1)</f>
        <v>#VALUE!</v>
      </c>
      <c r="D98" s="68" t="e">
        <f t="array" ref="D98">ROUND(+SUM(ABS(Table5!L9:L13)),1)</f>
        <v>#VALUE!</v>
      </c>
    </row>
    <row r="99" spans="2:4" x14ac:dyDescent="0.2">
      <c r="B99" s="67" t="s">
        <v>217</v>
      </c>
      <c r="C99" s="68" t="e">
        <f t="array" ref="C99">ROUND(+SUM(ABS(Table5!G24:G24)),1)</f>
        <v>#VALUE!</v>
      </c>
      <c r="D99" s="68" t="e">
        <f t="array" ref="D99">ROUND(+SUM(ABS(Table5!L24:L24)),1)</f>
        <v>#VALUE!</v>
      </c>
    </row>
    <row r="100" spans="2:4" x14ac:dyDescent="0.2">
      <c r="B100" s="67" t="s">
        <v>218</v>
      </c>
      <c r="C100" s="68" t="e">
        <f t="array" ref="C100">ROUND(+SUM(ABS(Table5!G35:G35)),1)</f>
        <v>#VALUE!</v>
      </c>
      <c r="D100" s="68" t="e">
        <f t="array" ref="D100">ROUND(+SUM(ABS(Table5!L35:L35)),1)</f>
        <v>#VALUE!</v>
      </c>
    </row>
    <row r="101" spans="2:4" x14ac:dyDescent="0.2">
      <c r="B101" t="s">
        <v>168</v>
      </c>
      <c r="C101" s="68"/>
      <c r="D101" s="68"/>
    </row>
    <row r="102" spans="2:4" x14ac:dyDescent="0.2">
      <c r="B102" s="67" t="s">
        <v>219</v>
      </c>
      <c r="C102" s="68">
        <f t="array" ref="C102">ROUND(+SUM(ABS(Table6!G9:G21)),1)</f>
        <v>0</v>
      </c>
      <c r="D102" s="68">
        <f t="array" ref="D102">ROUND(+SUM(ABS(Table6!L9:L21)),1)</f>
        <v>0</v>
      </c>
    </row>
    <row r="103" spans="2:4" x14ac:dyDescent="0.2">
      <c r="B103" s="67" t="s">
        <v>220</v>
      </c>
      <c r="C103" s="68">
        <f t="array" ref="C103">ROUND(+SUM(ABS(Table6!G40:G48)),1)</f>
        <v>0</v>
      </c>
      <c r="D103" s="68">
        <f t="array" ref="D103">ROUND(+SUM(ABS(Table6!L40:L48)),1)</f>
        <v>0</v>
      </c>
    </row>
    <row r="104" spans="2:4" x14ac:dyDescent="0.2">
      <c r="B104" s="67" t="s">
        <v>221</v>
      </c>
      <c r="C104" s="68">
        <f t="array" ref="C104">ROUND(+SUM(ABS(Table6!G71:G79)),1)</f>
        <v>0</v>
      </c>
      <c r="D104" s="68">
        <f t="array" ref="D104">ROUND(+SUM(ABS(Table6!L71:L79)),1)</f>
        <v>0</v>
      </c>
    </row>
    <row r="105" spans="2:4" x14ac:dyDescent="0.2">
      <c r="B105" t="s">
        <v>171</v>
      </c>
      <c r="C105" s="68"/>
      <c r="D105" s="68"/>
    </row>
    <row r="106" spans="2:4" x14ac:dyDescent="0.2">
      <c r="B106" s="67" t="s">
        <v>222</v>
      </c>
      <c r="C106" s="68">
        <f t="array" ref="C106">ROUND(+SUM(ABS(Table8A!G17:G21)),1)</f>
        <v>0</v>
      </c>
      <c r="D106" s="68">
        <f t="array" ref="D106">ROUND(+SUM(ABS(Table8A!L17:L21)),1)</f>
        <v>0</v>
      </c>
    </row>
    <row r="107" spans="2:4" x14ac:dyDescent="0.2">
      <c r="B107" s="67" t="s">
        <v>223</v>
      </c>
      <c r="C107" s="68">
        <f t="array" ref="C107">ROUND(+SUM(ABS(Table8A!G22:G26)),1)</f>
        <v>0</v>
      </c>
      <c r="D107" s="68">
        <f t="array" ref="D107">ROUND(+SUM(ABS(Table8A!L22:L26)),1)</f>
        <v>0</v>
      </c>
    </row>
    <row r="108" spans="2:4" x14ac:dyDescent="0.2">
      <c r="B108" s="67" t="s">
        <v>224</v>
      </c>
      <c r="C108" s="68">
        <f t="array" ref="C108">ROUND(+SUM(ABS(Table8A!G36:G40)),1)</f>
        <v>0</v>
      </c>
      <c r="D108" s="68">
        <f t="array" ref="D108">ROUND(+SUM(ABS(Table8A!L36:L40)),1)</f>
        <v>0</v>
      </c>
    </row>
    <row r="109" spans="2:4" x14ac:dyDescent="0.2">
      <c r="B109" s="67" t="s">
        <v>225</v>
      </c>
      <c r="C109" s="68">
        <f t="array" ref="C109">ROUND(+SUM(ABS(Table8A!G41:G45)),1)</f>
        <v>0</v>
      </c>
      <c r="D109" s="68">
        <f t="array" ref="D109">ROUND(+SUM(ABS(Table8A!L41:L45)),1)</f>
        <v>0</v>
      </c>
    </row>
    <row r="110" spans="2:4" x14ac:dyDescent="0.2">
      <c r="B110" t="s">
        <v>173</v>
      </c>
      <c r="C110" s="68"/>
      <c r="D110" s="68"/>
    </row>
    <row r="111" spans="2:4" x14ac:dyDescent="0.2">
      <c r="B111" s="67" t="s">
        <v>226</v>
      </c>
      <c r="C111" s="68" t="e">
        <f t="array" ref="C111">ROUND(+SUM(ABS(Table9!G9:G13)),1)</f>
        <v>#VALUE!</v>
      </c>
      <c r="D111" s="68" t="e">
        <f t="array" ref="D111">ROUND(+SUM(ABS(Table9!L9:L13)),1)</f>
        <v>#VALUE!</v>
      </c>
    </row>
    <row r="112" spans="2:4" x14ac:dyDescent="0.2">
      <c r="B112" s="67" t="s">
        <v>227</v>
      </c>
      <c r="C112" s="68" t="e">
        <f t="array" ref="C112">ROUND(+SUM(ABS(Table9!G24:G24)),1)</f>
        <v>#VALUE!</v>
      </c>
      <c r="D112" s="68" t="e">
        <f t="array" ref="D112">ROUND(+SUM(ABS(Table9!L24:L24)),1)</f>
        <v>#VALUE!</v>
      </c>
    </row>
    <row r="113" spans="1:4" x14ac:dyDescent="0.2">
      <c r="B113" s="67" t="s">
        <v>228</v>
      </c>
      <c r="C113" s="68" t="e">
        <f t="array" ref="C113">ROUND(+SUM(ABS(Table9!G35:G35)),1)</f>
        <v>#VALUE!</v>
      </c>
      <c r="D113" s="68" t="e">
        <f t="array" ref="D113">ROUND(+SUM(ABS(Table9!L35:L35)),1)</f>
        <v>#VALUE!</v>
      </c>
    </row>
    <row r="114" spans="1:4" x14ac:dyDescent="0.2">
      <c r="C114" s="68"/>
      <c r="D114" s="68"/>
    </row>
    <row r="115" spans="1:4" x14ac:dyDescent="0.2">
      <c r="A115" s="65" t="s">
        <v>229</v>
      </c>
      <c r="C115" s="68"/>
      <c r="D115" s="68"/>
    </row>
    <row r="116" spans="1:4" x14ac:dyDescent="0.2">
      <c r="C116" s="68"/>
      <c r="D116" s="68"/>
    </row>
    <row r="117" spans="1:4" x14ac:dyDescent="0.2">
      <c r="A117" t="s">
        <v>230</v>
      </c>
      <c r="C117" s="68"/>
      <c r="D117" s="68"/>
    </row>
    <row r="118" spans="1:4" x14ac:dyDescent="0.2">
      <c r="C118" s="68"/>
      <c r="D118" s="68"/>
    </row>
    <row r="119" spans="1:4" x14ac:dyDescent="0.2">
      <c r="C119" s="66" t="s">
        <v>155</v>
      </c>
      <c r="D119" s="66" t="s">
        <v>156</v>
      </c>
    </row>
    <row r="120" spans="1:4" x14ac:dyDescent="0.2">
      <c r="B120" t="s">
        <v>231</v>
      </c>
      <c r="C120" s="68"/>
      <c r="D120" s="68"/>
    </row>
    <row r="121" spans="1:4" x14ac:dyDescent="0.2">
      <c r="B121" s="67" t="s">
        <v>232</v>
      </c>
      <c r="C121" s="68">
        <f>ROUND(+Table1!G73-Table2!G14,1)</f>
        <v>218.1</v>
      </c>
      <c r="D121" s="68">
        <f>ROUND(+Table1!L73-Table2!L14,1)</f>
        <v>-152.1</v>
      </c>
    </row>
    <row r="122" spans="1:4" x14ac:dyDescent="0.2">
      <c r="B122" s="67" t="s">
        <v>233</v>
      </c>
      <c r="C122" s="68">
        <f>ROUND(+Table1!G64-Table2!G19,1)</f>
        <v>-10.1</v>
      </c>
      <c r="D122" s="68">
        <f>ROUND(+Table1!L64-Table2!L19,1)</f>
        <v>94.7</v>
      </c>
    </row>
    <row r="123" spans="1:4" x14ac:dyDescent="0.2">
      <c r="B123" s="67" t="s">
        <v>234</v>
      </c>
      <c r="C123" s="68">
        <f>ROUND(+Table1!G72-Table2!G39,1)</f>
        <v>0</v>
      </c>
      <c r="D123" s="68">
        <f>ROUND(+Table1!L72-Table2!L39,1)</f>
        <v>0</v>
      </c>
    </row>
    <row r="124" spans="1:4" x14ac:dyDescent="0.2">
      <c r="B124" s="67" t="s">
        <v>235</v>
      </c>
      <c r="C124" s="68">
        <f>ROUND(+Table1!G59-Table2!G31,1)</f>
        <v>92.7</v>
      </c>
      <c r="D124" s="68">
        <f>ROUND(+Table1!L59-Table2!L31,1)</f>
        <v>3364.3</v>
      </c>
    </row>
    <row r="125" spans="1:4" x14ac:dyDescent="0.2">
      <c r="B125" s="67" t="s">
        <v>236</v>
      </c>
      <c r="C125" s="68">
        <f>ROUND(+Table1!G60-Table2!G32,1)</f>
        <v>367.9</v>
      </c>
      <c r="D125" s="68">
        <f>ROUND(+Table1!L60-Table2!L32,1)</f>
        <v>8326</v>
      </c>
    </row>
    <row r="126" spans="1:4" x14ac:dyDescent="0.2">
      <c r="B126" s="67" t="s">
        <v>237</v>
      </c>
      <c r="C126" s="68">
        <f>ROUND(+Table1!G61-Table2!G33,1)</f>
        <v>-275.2</v>
      </c>
      <c r="D126" s="68">
        <f>ROUND(+Table1!L61-Table2!L33,1)</f>
        <v>-4961.7</v>
      </c>
    </row>
    <row r="127" spans="1:4" x14ac:dyDescent="0.2">
      <c r="B127" s="67" t="s">
        <v>238</v>
      </c>
      <c r="C127" s="68">
        <f>ROUND(+(Table1!G8-Table1!G59-Table1!G64-Table1!G72-Table1!G73)-Table2!G46,1)</f>
        <v>-14.3</v>
      </c>
      <c r="D127" s="68">
        <f>ROUND(+(Table1!L8-Table1!L59-Table1!L64-Table1!L72-Table1!L73)-Table2!L46,1)</f>
        <v>-405.2</v>
      </c>
    </row>
    <row r="128" spans="1:4" x14ac:dyDescent="0.2">
      <c r="B128" t="s">
        <v>161</v>
      </c>
      <c r="C128" s="68"/>
      <c r="D128" s="68"/>
    </row>
    <row r="129" spans="2:4" x14ac:dyDescent="0.2">
      <c r="B129" s="67" t="s">
        <v>239</v>
      </c>
      <c r="C129" s="68">
        <f>ROUND(Table3!G33-Table3!G64,1)</f>
        <v>-135.19999999999999</v>
      </c>
      <c r="D129" s="68">
        <f>ROUND(Table3!L33-Table3!L64,1)</f>
        <v>0</v>
      </c>
    </row>
    <row r="130" spans="2:4" x14ac:dyDescent="0.2">
      <c r="B130" s="67" t="s">
        <v>240</v>
      </c>
      <c r="C130" s="68">
        <f>ROUND(Table3!G34-Table3!G65,1)</f>
        <v>0</v>
      </c>
      <c r="D130" s="68">
        <f>ROUND(Table3!L34-Table3!L65,1)</f>
        <v>-135.69999999999999</v>
      </c>
    </row>
    <row r="131" spans="2:4" x14ac:dyDescent="0.2">
      <c r="B131" s="67" t="s">
        <v>241</v>
      </c>
      <c r="C131" s="68">
        <f>ROUND(Table3!G35-Table3!G66,1)</f>
        <v>9.9</v>
      </c>
      <c r="D131" s="68">
        <f>ROUND(Table3!L35-Table3!L66,1)</f>
        <v>0</v>
      </c>
    </row>
    <row r="132" spans="2:4" x14ac:dyDescent="0.2">
      <c r="B132" s="67" t="s">
        <v>242</v>
      </c>
      <c r="C132" s="68">
        <f>ROUND(Table3!G36-Table3!G67,1)</f>
        <v>0</v>
      </c>
      <c r="D132" s="68">
        <f>ROUND(Table3!L36-Table3!L67,1)</f>
        <v>-708.8</v>
      </c>
    </row>
    <row r="133" spans="2:4" x14ac:dyDescent="0.2">
      <c r="B133" s="67" t="s">
        <v>243</v>
      </c>
      <c r="C133" s="68">
        <f>ROUND(Table3!G37-Table3!G68,1)</f>
        <v>205.9</v>
      </c>
      <c r="D133" s="68">
        <f>ROUND(Table3!L37-Table3!L68,1)</f>
        <v>-0.4</v>
      </c>
    </row>
    <row r="134" spans="2:4" x14ac:dyDescent="0.2">
      <c r="B134" s="67" t="s">
        <v>244</v>
      </c>
      <c r="C134" s="68">
        <f>ROUND(Table3!G38-Table3!G69,1)</f>
        <v>0</v>
      </c>
      <c r="D134" s="68">
        <f>ROUND(Table3!L38-Table3!L69,1)</f>
        <v>0</v>
      </c>
    </row>
    <row r="135" spans="2:4" x14ac:dyDescent="0.2">
      <c r="B135" s="67" t="s">
        <v>245</v>
      </c>
      <c r="C135" s="68">
        <f>ROUND(Table3!G39-Table3!G70,1)</f>
        <v>-1778.2</v>
      </c>
      <c r="D135" s="68">
        <f>ROUND(Table3!L39-Table3!L70,1)</f>
        <v>0</v>
      </c>
    </row>
    <row r="136" spans="2:4" x14ac:dyDescent="0.2">
      <c r="B136" t="s">
        <v>162</v>
      </c>
      <c r="C136" s="68"/>
      <c r="D136" s="68"/>
    </row>
    <row r="137" spans="2:4" x14ac:dyDescent="0.2">
      <c r="B137" s="67" t="s">
        <v>246</v>
      </c>
      <c r="C137" s="68" t="e">
        <f>+ROUND(#REF!-#REF!,1)</f>
        <v>#REF!</v>
      </c>
      <c r="D137" s="68" t="e">
        <f>+ROUND(#REF!-#REF!,1)</f>
        <v>#REF!</v>
      </c>
    </row>
    <row r="138" spans="2:4" x14ac:dyDescent="0.2">
      <c r="B138" s="67" t="s">
        <v>247</v>
      </c>
      <c r="C138" s="68" t="e">
        <f>+ROUND(#REF!-#REF!,1)</f>
        <v>#REF!</v>
      </c>
      <c r="D138" s="68" t="e">
        <f>+ROUND(#REF!-#REF!,1)</f>
        <v>#REF!</v>
      </c>
    </row>
    <row r="139" spans="2:4" x14ac:dyDescent="0.2">
      <c r="B139" s="67" t="s">
        <v>248</v>
      </c>
      <c r="C139" s="68" t="e">
        <f>+ROUND(#REF!-#REF!,1)</f>
        <v>#REF!</v>
      </c>
      <c r="D139" s="68" t="e">
        <f>+ROUND(#REF!-#REF!,1)</f>
        <v>#REF!</v>
      </c>
    </row>
    <row r="140" spans="2:4" x14ac:dyDescent="0.2">
      <c r="B140" s="67" t="s">
        <v>249</v>
      </c>
      <c r="C140" s="68" t="e">
        <f>+ROUND(#REF!-#REF!,1)</f>
        <v>#REF!</v>
      </c>
      <c r="D140" s="68" t="e">
        <f>+ROUND(#REF!-#REF!,1)</f>
        <v>#REF!</v>
      </c>
    </row>
    <row r="141" spans="2:4" x14ac:dyDescent="0.2">
      <c r="B141" s="67" t="s">
        <v>250</v>
      </c>
      <c r="C141" s="68" t="e">
        <f>+ROUND(#REF!-#REF!,1)</f>
        <v>#REF!</v>
      </c>
      <c r="D141" s="68" t="e">
        <f>+ROUND(#REF!-#REF!,1)</f>
        <v>#REF!</v>
      </c>
    </row>
    <row r="142" spans="2:4" x14ac:dyDescent="0.2">
      <c r="B142" s="67" t="s">
        <v>251</v>
      </c>
      <c r="C142" s="68" t="e">
        <f>+ROUND(#REF!-#REF!,1)</f>
        <v>#REF!</v>
      </c>
      <c r="D142" s="68" t="e">
        <f>+ROUND(#REF!-#REF!,1)</f>
        <v>#REF!</v>
      </c>
    </row>
    <row r="143" spans="2:4" x14ac:dyDescent="0.2">
      <c r="B143" s="67" t="s">
        <v>252</v>
      </c>
      <c r="C143" s="68" t="e">
        <f>+ROUND(#REF!-#REF!,1)</f>
        <v>#REF!</v>
      </c>
      <c r="D143" s="68" t="e">
        <f>+ROUND(#REF!-#REF!,1)</f>
        <v>#REF!</v>
      </c>
    </row>
    <row r="144" spans="2:4" x14ac:dyDescent="0.2">
      <c r="B144" t="s">
        <v>165</v>
      </c>
      <c r="C144" s="68"/>
      <c r="D144" s="68"/>
    </row>
    <row r="145" spans="2:4" x14ac:dyDescent="0.2">
      <c r="B145" s="67" t="s">
        <v>253</v>
      </c>
      <c r="C145" s="68" t="e">
        <f>+ROUND(#REF!-#REF!,1)</f>
        <v>#REF!</v>
      </c>
      <c r="D145" s="68" t="e">
        <f>+ROUND(#REF!-#REF!,1)</f>
        <v>#REF!</v>
      </c>
    </row>
    <row r="146" spans="2:4" x14ac:dyDescent="0.2">
      <c r="B146" s="67" t="s">
        <v>254</v>
      </c>
      <c r="C146" s="68" t="e">
        <f>+ROUND(#REF!-#REF!,1)</f>
        <v>#REF!</v>
      </c>
      <c r="D146" s="68" t="e">
        <f>+ROUND(#REF!-#REF!,1)</f>
        <v>#REF!</v>
      </c>
    </row>
    <row r="147" spans="2:4" x14ac:dyDescent="0.2">
      <c r="B147" s="67" t="s">
        <v>255</v>
      </c>
      <c r="C147" s="68" t="e">
        <f>+ROUND(#REF!-#REF!,1)</f>
        <v>#REF!</v>
      </c>
      <c r="D147" s="68" t="e">
        <f>+ROUND(#REF!-#REF!,1)</f>
        <v>#REF!</v>
      </c>
    </row>
    <row r="148" spans="2:4" x14ac:dyDescent="0.2">
      <c r="B148" s="67" t="s">
        <v>256</v>
      </c>
      <c r="C148" s="68" t="e">
        <f>+ROUND(#REF!-#REF!,1)</f>
        <v>#REF!</v>
      </c>
      <c r="D148" s="68" t="e">
        <f>+ROUND(#REF!-#REF!,1)</f>
        <v>#REF!</v>
      </c>
    </row>
    <row r="149" spans="2:4" x14ac:dyDescent="0.2">
      <c r="B149" s="67" t="s">
        <v>257</v>
      </c>
      <c r="C149" s="68" t="e">
        <f>+ROUND(#REF!-#REF!,1)</f>
        <v>#REF!</v>
      </c>
      <c r="D149" s="68" t="e">
        <f>+ROUND(#REF!-#REF!,1)</f>
        <v>#REF!</v>
      </c>
    </row>
    <row r="150" spans="2:4" x14ac:dyDescent="0.2">
      <c r="B150" s="67" t="s">
        <v>258</v>
      </c>
      <c r="C150" s="68" t="e">
        <f>+ROUND(#REF!-#REF!,1)</f>
        <v>#REF!</v>
      </c>
      <c r="D150" s="68" t="e">
        <f>+ROUND(#REF!-#REF!,1)</f>
        <v>#REF!</v>
      </c>
    </row>
    <row r="151" spans="2:4" x14ac:dyDescent="0.2">
      <c r="B151" s="67" t="s">
        <v>259</v>
      </c>
      <c r="C151" s="68" t="e">
        <f>+ROUND(#REF!-#REF!,1)</f>
        <v>#REF!</v>
      </c>
      <c r="D151" s="68" t="e">
        <f>+ROUND(#REF!-#REF!,1)</f>
        <v>#REF!</v>
      </c>
    </row>
    <row r="152" spans="2:4" x14ac:dyDescent="0.2">
      <c r="B152" t="s">
        <v>168</v>
      </c>
      <c r="C152" s="68"/>
      <c r="D152" s="68"/>
    </row>
    <row r="153" spans="2:4" x14ac:dyDescent="0.2">
      <c r="B153" s="67" t="s">
        <v>260</v>
      </c>
      <c r="C153" s="68">
        <f>+ROUND(Table6!G33-Table6!G64,1)</f>
        <v>97.2</v>
      </c>
      <c r="D153" s="68">
        <f>+ROUND(Table6!L33-Table6!L64,1)</f>
        <v>3802.3</v>
      </c>
    </row>
    <row r="154" spans="2:4" x14ac:dyDescent="0.2">
      <c r="B154" s="67" t="s">
        <v>261</v>
      </c>
      <c r="C154" s="68">
        <f>+ROUND(Table6!G34-Table6!G65,1)</f>
        <v>85.9</v>
      </c>
      <c r="D154" s="68">
        <f>+ROUND(Table6!L34-Table6!L65,1)</f>
        <v>-180.6</v>
      </c>
    </row>
    <row r="155" spans="2:4" x14ac:dyDescent="0.2">
      <c r="B155" s="67" t="s">
        <v>262</v>
      </c>
      <c r="C155" s="68">
        <f>+ROUND(Table6!G35-Table6!G66,1)</f>
        <v>-0.2</v>
      </c>
      <c r="D155" s="68">
        <f>+ROUND(Table6!L35-Table6!L66,1)</f>
        <v>57</v>
      </c>
    </row>
    <row r="156" spans="2:4" x14ac:dyDescent="0.2">
      <c r="B156" s="67" t="s">
        <v>263</v>
      </c>
      <c r="C156" s="68">
        <f>+ROUND(Table6!G36-Table6!G67,1)</f>
        <v>-21.3</v>
      </c>
      <c r="D156" s="68">
        <f>+ROUND(Table6!L36-Table6!L67,1)</f>
        <v>-16.2</v>
      </c>
    </row>
    <row r="157" spans="2:4" x14ac:dyDescent="0.2">
      <c r="B157" s="67" t="s">
        <v>264</v>
      </c>
      <c r="C157" s="68">
        <f>+ROUND(Table6!G37-Table6!G68,1)</f>
        <v>0</v>
      </c>
      <c r="D157" s="68">
        <f>+ROUND(Table6!L37-Table6!L68,1)</f>
        <v>0</v>
      </c>
    </row>
    <row r="158" spans="2:4" x14ac:dyDescent="0.2">
      <c r="B158" s="67" t="s">
        <v>265</v>
      </c>
      <c r="C158" s="68">
        <f>+ROUND(Table6!G38-Table6!G69,1)</f>
        <v>0</v>
      </c>
      <c r="D158" s="68">
        <f>+ROUND(Table6!L38-Table6!L69,1)</f>
        <v>0</v>
      </c>
    </row>
    <row r="159" spans="2:4" x14ac:dyDescent="0.2">
      <c r="B159" s="67" t="s">
        <v>266</v>
      </c>
      <c r="C159" s="68">
        <f>+ROUND(Table6!G39-Table6!G70,1)</f>
        <v>-85.7</v>
      </c>
      <c r="D159" s="68">
        <f>+ROUND(Table6!L39-Table6!L70,1)</f>
        <v>-3547.5</v>
      </c>
    </row>
    <row r="160" spans="2:4" x14ac:dyDescent="0.2">
      <c r="B160" t="s">
        <v>171</v>
      </c>
      <c r="C160" s="68"/>
      <c r="D160" s="68"/>
    </row>
    <row r="161" spans="2:4" x14ac:dyDescent="0.2">
      <c r="B161" s="67" t="s">
        <v>267</v>
      </c>
      <c r="C161" s="68">
        <f>+ROUND(Table8A!G10-Table8A!G29,1)</f>
        <v>-1697.6</v>
      </c>
      <c r="D161" s="68">
        <f>+ROUND(Table8A!L10-Table8A!L29,1)</f>
        <v>-845</v>
      </c>
    </row>
    <row r="162" spans="2:4" x14ac:dyDescent="0.2">
      <c r="B162" t="s">
        <v>173</v>
      </c>
      <c r="C162" s="68"/>
      <c r="D162" s="68"/>
    </row>
    <row r="163" spans="2:4" x14ac:dyDescent="0.2">
      <c r="B163" s="67" t="s">
        <v>268</v>
      </c>
      <c r="C163" s="68" t="e">
        <f>+ROUND(#REF!-#REF!,1)</f>
        <v>#REF!</v>
      </c>
      <c r="D163" s="68" t="e">
        <f>+ROUND(#REF!-#REF!,1)</f>
        <v>#REF!</v>
      </c>
    </row>
    <row r="164" spans="2:4" x14ac:dyDescent="0.2">
      <c r="B164" s="67" t="s">
        <v>269</v>
      </c>
      <c r="C164" s="68" t="e">
        <f>+ROUND(#REF!-#REF!,1)</f>
        <v>#REF!</v>
      </c>
      <c r="D164" s="68" t="e">
        <f>+ROUND(#REF!-#REF!,1)</f>
        <v>#REF!</v>
      </c>
    </row>
    <row r="165" spans="2:4" x14ac:dyDescent="0.2">
      <c r="B165" s="67" t="s">
        <v>270</v>
      </c>
      <c r="C165" s="68" t="e">
        <f>+ROUND(#REF!-#REF!,1)</f>
        <v>#REF!</v>
      </c>
      <c r="D165" s="68" t="e">
        <f>+ROUND(#REF!-#REF!,1)</f>
        <v>#REF!</v>
      </c>
    </row>
    <row r="166" spans="2:4" x14ac:dyDescent="0.2">
      <c r="B166" s="67" t="s">
        <v>271</v>
      </c>
      <c r="C166" s="68" t="e">
        <f>+ROUND(#REF!-#REF!,1)</f>
        <v>#REF!</v>
      </c>
      <c r="D166" s="68" t="e">
        <f>+ROUND(#REF!-#REF!,1)</f>
        <v>#REF!</v>
      </c>
    </row>
    <row r="167" spans="2:4" x14ac:dyDescent="0.2">
      <c r="B167" s="67" t="s">
        <v>272</v>
      </c>
      <c r="C167" s="68" t="e">
        <f>+ROUND(#REF!-#REF!,1)</f>
        <v>#REF!</v>
      </c>
      <c r="D167" s="68" t="e">
        <f>+ROUND(#REF!-#REF!,1)</f>
        <v>#REF!</v>
      </c>
    </row>
    <row r="168" spans="2:4" x14ac:dyDescent="0.2">
      <c r="B168" s="67" t="s">
        <v>273</v>
      </c>
      <c r="C168" s="68" t="e">
        <f>+ROUND(#REF!-#REF!,1)</f>
        <v>#REF!</v>
      </c>
      <c r="D168" s="68" t="e">
        <f>+ROUND(#REF!-#REF!,1)</f>
        <v>#REF!</v>
      </c>
    </row>
    <row r="169" spans="2:4" x14ac:dyDescent="0.2">
      <c r="B169" s="67" t="s">
        <v>274</v>
      </c>
      <c r="C169" s="68" t="e">
        <f>+ROUND(#REF!-#REF!,1)</f>
        <v>#REF!</v>
      </c>
      <c r="D169" s="68" t="e">
        <f>+ROUND(#REF!-#REF!,1)</f>
        <v>#REF!</v>
      </c>
    </row>
  </sheetData>
  <sheetProtection password="EECE" sheet="1" objects="1" scenarios="1" formatCells="0" formatColumns="0" formatRows="0"/>
  <customSheetViews>
    <customSheetView guid="{C3088B2E-F853-4D7E-B687-C6500891DFCB}" state="hidden">
      <pageMargins left="0.7" right="0.7" top="0.75" bottom="0.75" header="0.3" footer="0.3"/>
    </customSheetView>
    <customSheetView guid="{F866C9B2-56BF-4FE4-B270-CC8FE15A5892}" state="hidden">
      <pageMargins left="0.7" right="0.7" top="0.75" bottom="0.75" header="0.3" footer="0.3"/>
    </customSheetView>
    <customSheetView guid="{D66484CB-9D53-43A1-A83D-11534BC40BF6}" state="hidden">
      <pageMargins left="0.7" right="0.7" top="0.75" bottom="0.75" header="0.3" footer="0.3"/>
    </customSheetView>
  </customSheetViews>
  <conditionalFormatting sqref="C7:D33">
    <cfRule type="cellIs" dxfId="3" priority="4" stopIfTrue="1" operator="notEqual">
      <formula>0</formula>
    </cfRule>
  </conditionalFormatting>
  <conditionalFormatting sqref="D41:D53">
    <cfRule type="cellIs" dxfId="2" priority="3" stopIfTrue="1" operator="notEqual">
      <formula>0</formula>
    </cfRule>
  </conditionalFormatting>
  <conditionalFormatting sqref="C61:D113">
    <cfRule type="cellIs" dxfId="1" priority="2" stopIfTrue="1" operator="notEqual">
      <formula>0</formula>
    </cfRule>
  </conditionalFormatting>
  <conditionalFormatting sqref="C121:D169">
    <cfRule type="cellIs" dxfId="0" priority="1" stopIfTrue="1" operator="notEqual">
      <formula>0</formula>
    </cfRule>
  </conditionalFormatting>
  <pageMargins left="0.7" right="0.7" top="0.75" bottom="0.75" header="0.3" footer="0.3"/>
  <pageSetup paperSize="9" orientation="portrai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6"/>
  </sheetPr>
  <dimension ref="A1:O45"/>
  <sheetViews>
    <sheetView workbookViewId="0">
      <pane xSplit="3" ySplit="6" topLeftCell="D7" activePane="bottomRight" state="frozen"/>
      <selection pane="topRight" activeCell="D1" sqref="D1"/>
      <selection pane="bottomLeft" activeCell="A7" sqref="A7"/>
      <selection pane="bottomRight" activeCell="A2" sqref="A2"/>
    </sheetView>
  </sheetViews>
  <sheetFormatPr baseColWidth="10" defaultColWidth="9.140625" defaultRowHeight="9" x14ac:dyDescent="0.15"/>
  <cols>
    <col min="1" max="1" width="1.42578125" style="10" customWidth="1"/>
    <col min="2" max="2" width="23.85546875" style="10" customWidth="1"/>
    <col min="3" max="3" width="0.85546875" style="10" customWidth="1"/>
    <col min="4" max="12" width="9.5703125" style="10" customWidth="1"/>
    <col min="13" max="13" width="0.5703125" style="10" customWidth="1"/>
    <col min="14" max="15" width="9.42578125" style="10" customWidth="1"/>
    <col min="16" max="16" width="9.140625" style="10" customWidth="1"/>
    <col min="17" max="16384" width="9.140625" style="10"/>
  </cols>
  <sheetData>
    <row r="1" spans="1:15" ht="12" x14ac:dyDescent="0.2">
      <c r="A1" s="64" t="str">
        <f>+Coverpage!A1</f>
        <v>GFSM2014_V1.5</v>
      </c>
      <c r="B1" s="41"/>
      <c r="C1" s="7"/>
      <c r="D1" s="8"/>
      <c r="E1" s="9"/>
      <c r="F1" s="9"/>
      <c r="G1" s="827" t="str">
        <f>Coverpage!I8</f>
        <v>Colombia</v>
      </c>
      <c r="H1" s="827"/>
      <c r="I1" s="827"/>
      <c r="J1" s="827"/>
      <c r="K1" s="827"/>
      <c r="L1" s="43" t="str">
        <f>Coverpage!I9</f>
        <v>233</v>
      </c>
    </row>
    <row r="2" spans="1:15" ht="12" customHeight="1" x14ac:dyDescent="0.2">
      <c r="A2" s="44" t="s">
        <v>97</v>
      </c>
      <c r="B2" s="42"/>
      <c r="C2" s="11"/>
      <c r="D2" s="12"/>
      <c r="E2" s="9"/>
      <c r="F2" s="9"/>
      <c r="G2" s="62"/>
      <c r="H2" s="62"/>
      <c r="I2" s="62"/>
      <c r="J2" s="62"/>
      <c r="K2" s="62"/>
      <c r="L2" s="62"/>
    </row>
    <row r="3" spans="1:15" ht="12.95" customHeight="1" x14ac:dyDescent="0.15">
      <c r="A3" s="13"/>
      <c r="B3" s="14"/>
      <c r="C3" s="14"/>
      <c r="D3" s="15"/>
      <c r="E3" s="16"/>
      <c r="F3" s="16"/>
      <c r="G3" s="828" t="s">
        <v>46</v>
      </c>
      <c r="H3" s="828"/>
      <c r="I3" s="17" t="str">
        <f>Coverpage!I10</f>
        <v>2016</v>
      </c>
      <c r="J3" s="16"/>
      <c r="K3" s="16"/>
      <c r="L3" s="18"/>
    </row>
    <row r="4" spans="1:15" ht="12.95" customHeight="1" x14ac:dyDescent="0.2">
      <c r="A4" s="832" t="s">
        <v>121</v>
      </c>
      <c r="B4" s="832"/>
      <c r="C4" s="19"/>
      <c r="D4" s="833" t="s">
        <v>76</v>
      </c>
      <c r="E4" s="834"/>
      <c r="F4" s="834"/>
      <c r="G4" s="834"/>
      <c r="H4" s="835"/>
      <c r="I4" s="829" t="s">
        <v>77</v>
      </c>
      <c r="J4" s="836" t="s">
        <v>78</v>
      </c>
      <c r="K4" s="829" t="s">
        <v>79</v>
      </c>
      <c r="L4" s="831" t="s">
        <v>114</v>
      </c>
      <c r="N4" s="825" t="s">
        <v>98</v>
      </c>
      <c r="O4" s="826"/>
    </row>
    <row r="5" spans="1:15" ht="33" customHeight="1" x14ac:dyDescent="0.15">
      <c r="A5" s="832"/>
      <c r="B5" s="832"/>
      <c r="C5" s="19"/>
      <c r="D5" s="21" t="s">
        <v>89</v>
      </c>
      <c r="E5" s="22" t="s">
        <v>90</v>
      </c>
      <c r="F5" s="20" t="s">
        <v>45</v>
      </c>
      <c r="G5" s="22" t="s">
        <v>79</v>
      </c>
      <c r="H5" s="20" t="s">
        <v>76</v>
      </c>
      <c r="I5" s="830"/>
      <c r="J5" s="836"/>
      <c r="K5" s="830"/>
      <c r="L5" s="831"/>
      <c r="N5" s="23" t="s">
        <v>55</v>
      </c>
      <c r="O5" s="24" t="s">
        <v>56</v>
      </c>
    </row>
    <row r="6" spans="1:15" ht="10.5" customHeight="1" x14ac:dyDescent="0.15">
      <c r="A6" s="25"/>
      <c r="B6" s="26"/>
      <c r="C6" s="26"/>
      <c r="D6" s="27" t="s">
        <v>57</v>
      </c>
      <c r="E6" s="28" t="s">
        <v>58</v>
      </c>
      <c r="F6" s="29" t="s">
        <v>59</v>
      </c>
      <c r="G6" s="28" t="s">
        <v>60</v>
      </c>
      <c r="H6" s="29" t="s">
        <v>61</v>
      </c>
      <c r="I6" s="28" t="s">
        <v>62</v>
      </c>
      <c r="J6" s="29" t="s">
        <v>63</v>
      </c>
      <c r="K6" s="28" t="s">
        <v>11</v>
      </c>
      <c r="L6" s="30" t="s">
        <v>12</v>
      </c>
      <c r="N6" s="5" t="s">
        <v>13</v>
      </c>
      <c r="O6" s="6" t="s">
        <v>14</v>
      </c>
    </row>
    <row r="7" spans="1:15" ht="10.5" customHeight="1" x14ac:dyDescent="0.15">
      <c r="A7" s="31" t="s">
        <v>91</v>
      </c>
      <c r="C7" s="10" t="s">
        <v>48</v>
      </c>
      <c r="D7" s="32"/>
      <c r="E7" s="33"/>
      <c r="F7" s="33"/>
      <c r="G7" s="33"/>
      <c r="H7" s="33"/>
      <c r="I7" s="33"/>
      <c r="J7" s="33"/>
      <c r="K7" s="33"/>
      <c r="L7" s="33"/>
      <c r="N7" s="34"/>
      <c r="O7" s="35"/>
    </row>
    <row r="8" spans="1:15" ht="12.2" customHeight="1" x14ac:dyDescent="0.15">
      <c r="B8" s="4" t="s">
        <v>136</v>
      </c>
      <c r="C8" s="10" t="s">
        <v>48</v>
      </c>
      <c r="D8" s="45" t="e">
        <f>(#REF!)</f>
        <v>#REF!</v>
      </c>
      <c r="E8" s="45" t="e">
        <f>(#REF!)</f>
        <v>#REF!</v>
      </c>
      <c r="F8" s="45" t="e">
        <f>(#REF!)</f>
        <v>#REF!</v>
      </c>
      <c r="G8" s="45" t="e">
        <f>(#REF!)</f>
        <v>#REF!</v>
      </c>
      <c r="H8" s="45" t="e">
        <f>(#REF!)</f>
        <v>#REF!</v>
      </c>
      <c r="I8" s="45" t="e">
        <f>(#REF!)</f>
        <v>#REF!</v>
      </c>
      <c r="J8" s="45" t="e">
        <f>(#REF!)</f>
        <v>#REF!</v>
      </c>
      <c r="K8" s="45" t="e">
        <f>(#REF!)</f>
        <v>#REF!</v>
      </c>
      <c r="L8" s="45" t="e">
        <f>(#REF!)</f>
        <v>#REF!</v>
      </c>
      <c r="N8" s="51">
        <f>(StatementI!O22)</f>
        <v>3.3921000009286217E-2</v>
      </c>
      <c r="O8" s="47">
        <f>(StatementI!P22)</f>
        <v>-6.0026650317013264E-11</v>
      </c>
    </row>
    <row r="9" spans="1:15" ht="10.5" customHeight="1" x14ac:dyDescent="0.15">
      <c r="B9" s="4" t="s">
        <v>137</v>
      </c>
      <c r="C9" s="10" t="s">
        <v>48</v>
      </c>
      <c r="D9" s="45" t="e">
        <f>(#REF!)</f>
        <v>#REF!</v>
      </c>
      <c r="E9" s="45" t="e">
        <f>(#REF!)</f>
        <v>#REF!</v>
      </c>
      <c r="F9" s="45" t="e">
        <f>(#REF!)</f>
        <v>#REF!</v>
      </c>
      <c r="G9" s="45" t="e">
        <f>(#REF!)</f>
        <v>#REF!</v>
      </c>
      <c r="H9" s="45" t="e">
        <f>(#REF!)</f>
        <v>#REF!</v>
      </c>
      <c r="I9" s="45" t="e">
        <f>(#REF!)</f>
        <v>#REF!</v>
      </c>
      <c r="J9" s="45" t="e">
        <f>(#REF!)</f>
        <v>#REF!</v>
      </c>
      <c r="K9" s="45" t="e">
        <f>(#REF!)</f>
        <v>#REF!</v>
      </c>
      <c r="L9" s="45" t="e">
        <f>(#REF!)</f>
        <v>#REF!</v>
      </c>
      <c r="N9" s="51">
        <f>(StatementI!O23)</f>
        <v>3.3921000009286217E-2</v>
      </c>
      <c r="O9" s="47">
        <f>(StatementI!P23)</f>
        <v>-5.8207660913467407E-11</v>
      </c>
    </row>
    <row r="10" spans="1:15" ht="10.5" customHeight="1" x14ac:dyDescent="0.15">
      <c r="A10" s="36"/>
      <c r="B10" s="2" t="s">
        <v>96</v>
      </c>
      <c r="C10" s="37" t="s">
        <v>48</v>
      </c>
      <c r="D10" s="45" t="e">
        <f>(#REF!)</f>
        <v>#REF!</v>
      </c>
      <c r="E10" s="45" t="e">
        <f>(#REF!)</f>
        <v>#REF!</v>
      </c>
      <c r="F10" s="45" t="e">
        <f>(#REF!)</f>
        <v>#REF!</v>
      </c>
      <c r="G10" s="45" t="e">
        <f>(#REF!)</f>
        <v>#REF!</v>
      </c>
      <c r="H10" s="45" t="e">
        <f>(#REF!)</f>
        <v>#REF!</v>
      </c>
      <c r="I10" s="45" t="e">
        <f>(#REF!)</f>
        <v>#REF!</v>
      </c>
      <c r="J10" s="45" t="e">
        <f>(#REF!)</f>
        <v>#REF!</v>
      </c>
      <c r="K10" s="45" t="e">
        <f>(#REF!)</f>
        <v>#REF!</v>
      </c>
      <c r="L10" s="45" t="e">
        <f>(#REF!)</f>
        <v>#REF!</v>
      </c>
      <c r="N10" s="51">
        <f>(StatementI!O31)</f>
        <v>3.3921000009286217E-2</v>
      </c>
      <c r="O10" s="47">
        <f>(StatementI!P31)</f>
        <v>-5.0931703299283981E-11</v>
      </c>
    </row>
    <row r="11" spans="1:15" ht="10.5" customHeight="1" x14ac:dyDescent="0.15">
      <c r="A11" s="38"/>
      <c r="B11" s="3" t="s">
        <v>131</v>
      </c>
      <c r="C11" s="38" t="s">
        <v>48</v>
      </c>
      <c r="D11" s="48" t="e">
        <f>(#REF!)</f>
        <v>#REF!</v>
      </c>
      <c r="E11" s="48" t="e">
        <f>(#REF!)</f>
        <v>#REF!</v>
      </c>
      <c r="F11" s="48" t="e">
        <f>(#REF!)</f>
        <v>#REF!</v>
      </c>
      <c r="G11" s="48" t="e">
        <f>(#REF!)</f>
        <v>#REF!</v>
      </c>
      <c r="H11" s="48" t="e">
        <f>(#REF!)</f>
        <v>#REF!</v>
      </c>
      <c r="I11" s="48" t="e">
        <f>(#REF!)</f>
        <v>#REF!</v>
      </c>
      <c r="J11" s="48" t="e">
        <f>(#REF!)</f>
        <v>#REF!</v>
      </c>
      <c r="K11" s="48" t="e">
        <f>(#REF!)</f>
        <v>#REF!</v>
      </c>
      <c r="L11" s="48" t="e">
        <f>(#REF!)</f>
        <v>#REF!</v>
      </c>
      <c r="N11" s="54"/>
      <c r="O11" s="55"/>
    </row>
    <row r="12" spans="1:15" ht="10.5" customHeight="1" x14ac:dyDescent="0.15">
      <c r="A12" s="31" t="s">
        <v>74</v>
      </c>
      <c r="C12" s="10" t="s">
        <v>48</v>
      </c>
      <c r="D12" s="45"/>
      <c r="E12" s="45"/>
      <c r="F12" s="45"/>
      <c r="G12" s="45"/>
      <c r="H12" s="45"/>
      <c r="I12" s="45"/>
      <c r="J12" s="45"/>
      <c r="K12" s="45"/>
      <c r="L12" s="49"/>
      <c r="N12" s="51"/>
      <c r="O12" s="47"/>
    </row>
    <row r="13" spans="1:15" ht="12.2" customHeight="1" x14ac:dyDescent="0.15">
      <c r="B13" s="10" t="s">
        <v>104</v>
      </c>
      <c r="C13" s="10" t="s">
        <v>48</v>
      </c>
      <c r="D13" s="45" t="e">
        <f>(#REF!)</f>
        <v>#REF!</v>
      </c>
      <c r="E13" s="45" t="e">
        <f>(#REF!)</f>
        <v>#REF!</v>
      </c>
      <c r="F13" s="45" t="e">
        <f>(#REF!)</f>
        <v>#REF!</v>
      </c>
      <c r="G13" s="45" t="e">
        <f>(#REF!)</f>
        <v>#REF!</v>
      </c>
      <c r="H13" s="45" t="e">
        <f>(#REF!)</f>
        <v>#REF!</v>
      </c>
      <c r="I13" s="45" t="e">
        <f>(#REF!)</f>
        <v>#REF!</v>
      </c>
      <c r="J13" s="45" t="e">
        <f>(#REF!)</f>
        <v>#REF!</v>
      </c>
      <c r="K13" s="45" t="e">
        <f>(#REF!)</f>
        <v>#REF!</v>
      </c>
      <c r="L13" s="45" t="e">
        <f>(#REF!)</f>
        <v>#REF!</v>
      </c>
      <c r="N13" s="51">
        <f>(StatementI!O8)</f>
        <v>3.3920999994734302E-2</v>
      </c>
      <c r="O13" s="47">
        <f>(StatementI!P8)</f>
        <v>0</v>
      </c>
    </row>
    <row r="14" spans="1:15" ht="12" customHeight="1" x14ac:dyDescent="0.15">
      <c r="B14" s="10" t="s">
        <v>105</v>
      </c>
      <c r="C14" s="10" t="s">
        <v>48</v>
      </c>
      <c r="D14" s="45" t="e">
        <f>(#REF!)</f>
        <v>#REF!</v>
      </c>
      <c r="E14" s="45" t="e">
        <f>(#REF!)</f>
        <v>#REF!</v>
      </c>
      <c r="F14" s="45" t="e">
        <f>(#REF!)</f>
        <v>#REF!</v>
      </c>
      <c r="G14" s="45" t="e">
        <f>(#REF!)</f>
        <v>#REF!</v>
      </c>
      <c r="H14" s="45" t="e">
        <f>(#REF!)</f>
        <v>#REF!</v>
      </c>
      <c r="I14" s="45" t="e">
        <f>(#REF!)</f>
        <v>#REF!</v>
      </c>
      <c r="J14" s="45" t="e">
        <f>(#REF!)</f>
        <v>#REF!</v>
      </c>
      <c r="K14" s="45" t="e">
        <f>(#REF!)</f>
        <v>#REF!</v>
      </c>
      <c r="L14" s="45" t="e">
        <f>(#REF!)</f>
        <v>#REF!</v>
      </c>
      <c r="N14" s="51">
        <f>(StatementI!O13)</f>
        <v>0</v>
      </c>
      <c r="O14" s="47">
        <f>(StatementI!P13)</f>
        <v>5.8207660913467407E-11</v>
      </c>
    </row>
    <row r="15" spans="1:15" ht="12" customHeight="1" x14ac:dyDescent="0.15">
      <c r="B15" s="10" t="s">
        <v>122</v>
      </c>
      <c r="C15" s="10" t="s">
        <v>48</v>
      </c>
      <c r="D15" s="45">
        <f>(Table3!E103)</f>
        <v>0</v>
      </c>
      <c r="E15" s="45">
        <f>(Table3!F103)</f>
        <v>0</v>
      </c>
      <c r="F15" s="45" t="e">
        <f>(#REF!)</f>
        <v>#REF!</v>
      </c>
      <c r="G15" s="45">
        <f>(Table3!G103)</f>
        <v>2.8421709430404007E-14</v>
      </c>
      <c r="H15" s="45">
        <f>(Table3!H103)</f>
        <v>0</v>
      </c>
      <c r="I15" s="45">
        <f>(Table3!I103)</f>
        <v>0</v>
      </c>
      <c r="J15" s="45">
        <f>(Table3!K103)</f>
        <v>9.0949470177292824E-13</v>
      </c>
      <c r="K15" s="45">
        <f>(Table3!L103)</f>
        <v>0</v>
      </c>
      <c r="L15" s="45">
        <f>(Table3!M103)</f>
        <v>0</v>
      </c>
      <c r="N15" s="51">
        <f>(Table3!P8)</f>
        <v>-7.2759576141834259E-12</v>
      </c>
      <c r="O15" s="47">
        <f>(Table3!Q8)</f>
        <v>1.8189894035458565E-11</v>
      </c>
    </row>
    <row r="16" spans="1:15" ht="10.5" customHeight="1" x14ac:dyDescent="0.15">
      <c r="B16" s="10" t="s">
        <v>40</v>
      </c>
      <c r="C16" s="10" t="s">
        <v>48</v>
      </c>
      <c r="D16" s="45" t="e">
        <f>(#REF!)</f>
        <v>#REF!</v>
      </c>
      <c r="E16" s="45" t="e">
        <f>(#REF!)</f>
        <v>#REF!</v>
      </c>
      <c r="F16" s="45" t="e">
        <f>(#REF!)</f>
        <v>#REF!</v>
      </c>
      <c r="G16" s="45" t="e">
        <f>(#REF!)</f>
        <v>#REF!</v>
      </c>
      <c r="H16" s="45" t="e">
        <f>(#REF!)</f>
        <v>#REF!</v>
      </c>
      <c r="I16" s="45" t="e">
        <f>(#REF!)</f>
        <v>#REF!</v>
      </c>
      <c r="J16" s="45" t="e">
        <f>(#REF!)</f>
        <v>#REF!</v>
      </c>
      <c r="K16" s="45" t="e">
        <f>(#REF!)</f>
        <v>#REF!</v>
      </c>
      <c r="L16" s="45" t="e">
        <f>(#REF!)</f>
        <v>#REF!</v>
      </c>
      <c r="N16" s="51">
        <f>(StatementI!O25)</f>
        <v>0</v>
      </c>
      <c r="O16" s="47">
        <f>(StatementI!P25)</f>
        <v>-3.637978807091713E-12</v>
      </c>
    </row>
    <row r="17" spans="1:15" ht="10.5" customHeight="1" x14ac:dyDescent="0.15">
      <c r="B17" s="10" t="s">
        <v>41</v>
      </c>
      <c r="C17" s="10" t="s">
        <v>48</v>
      </c>
      <c r="D17" s="45" t="e">
        <f>(#REF!)</f>
        <v>#REF!</v>
      </c>
      <c r="E17" s="45" t="e">
        <f>(#REF!)</f>
        <v>#REF!</v>
      </c>
      <c r="F17" s="45" t="e">
        <f>(#REF!)</f>
        <v>#REF!</v>
      </c>
      <c r="G17" s="45" t="e">
        <f>(#REF!)</f>
        <v>#REF!</v>
      </c>
      <c r="H17" s="45" t="e">
        <f>(#REF!)</f>
        <v>#REF!</v>
      </c>
      <c r="I17" s="45" t="e">
        <f>(#REF!)</f>
        <v>#REF!</v>
      </c>
      <c r="J17" s="45" t="e">
        <f>(#REF!)</f>
        <v>#REF!</v>
      </c>
      <c r="K17" s="45" t="e">
        <f>(#REF!)</f>
        <v>#REF!</v>
      </c>
      <c r="L17" s="45" t="e">
        <f>(#REF!)</f>
        <v>#REF!</v>
      </c>
      <c r="N17" s="51">
        <f>(StatementI!O33)</f>
        <v>-7.2759576141834259E-12</v>
      </c>
      <c r="O17" s="47">
        <f>(StatementI!P33)</f>
        <v>0</v>
      </c>
    </row>
    <row r="18" spans="1:15" ht="10.5" customHeight="1" x14ac:dyDescent="0.15">
      <c r="A18" s="36"/>
      <c r="B18" s="36" t="s">
        <v>42</v>
      </c>
      <c r="C18" s="36" t="s">
        <v>48</v>
      </c>
      <c r="D18" s="46" t="e">
        <f>(#REF!)</f>
        <v>#REF!</v>
      </c>
      <c r="E18" s="46" t="e">
        <f>(#REF!)</f>
        <v>#REF!</v>
      </c>
      <c r="F18" s="46" t="e">
        <f>(#REF!)</f>
        <v>#REF!</v>
      </c>
      <c r="G18" s="46" t="e">
        <f>(#REF!)</f>
        <v>#REF!</v>
      </c>
      <c r="H18" s="46" t="e">
        <f>(#REF!)</f>
        <v>#REF!</v>
      </c>
      <c r="I18" s="46" t="e">
        <f>(#REF!)</f>
        <v>#REF!</v>
      </c>
      <c r="J18" s="46" t="e">
        <f>(#REF!)</f>
        <v>#REF!</v>
      </c>
      <c r="K18" s="46" t="e">
        <f>(#REF!)</f>
        <v>#REF!</v>
      </c>
      <c r="L18" s="45" t="e">
        <f>(#REF!)</f>
        <v>#REF!</v>
      </c>
      <c r="N18" s="51">
        <f>(StatementI!O36)</f>
        <v>0</v>
      </c>
      <c r="O18" s="47">
        <f>(StatementI!P36)</f>
        <v>0</v>
      </c>
    </row>
    <row r="19" spans="1:15" ht="12" customHeight="1" x14ac:dyDescent="0.15">
      <c r="A19" s="36"/>
      <c r="B19" s="10" t="s">
        <v>123</v>
      </c>
      <c r="C19" s="36" t="s">
        <v>48</v>
      </c>
      <c r="D19" s="45">
        <f>(Table4!E45)</f>
        <v>6.8212102632969618E-13</v>
      </c>
      <c r="E19" s="45">
        <f>(Table4!F45)</f>
        <v>3.5527136788005009E-14</v>
      </c>
      <c r="F19" s="45" t="e">
        <f>(#REF!)</f>
        <v>#REF!</v>
      </c>
      <c r="G19" s="45">
        <f>(Table4!G45)</f>
        <v>0</v>
      </c>
      <c r="H19" s="45">
        <f>(Table4!H45)</f>
        <v>-2.2737367544323206E-13</v>
      </c>
      <c r="I19" s="45">
        <f>(Table4!I45)</f>
        <v>5.6843418860808015E-14</v>
      </c>
      <c r="J19" s="45">
        <f>(Table4!K45)</f>
        <v>-4.2632564145606011E-14</v>
      </c>
      <c r="K19" s="45">
        <f>(Table4!L45)</f>
        <v>0</v>
      </c>
      <c r="L19" s="45">
        <f>(Table4!M45)</f>
        <v>-9.0949470177292824E-13</v>
      </c>
      <c r="N19" s="51">
        <f>(Table4!P8)</f>
        <v>1.8189894035458565E-12</v>
      </c>
      <c r="O19" s="47">
        <f>(Table4!Q8)</f>
        <v>1.8189894035458565E-12</v>
      </c>
    </row>
    <row r="20" spans="1:15" ht="12" customHeight="1" x14ac:dyDescent="0.15">
      <c r="A20" s="36"/>
      <c r="B20" s="10" t="s">
        <v>53</v>
      </c>
      <c r="C20" s="36" t="s">
        <v>48</v>
      </c>
      <c r="D20" s="45">
        <f>(Table5!E45)</f>
        <v>0</v>
      </c>
      <c r="E20" s="45">
        <f>(Table5!F45)</f>
        <v>5.6843418860808015E-14</v>
      </c>
      <c r="F20" s="45" t="e">
        <f>(#REF!)</f>
        <v>#REF!</v>
      </c>
      <c r="G20" s="45">
        <f>(Table5!G45)</f>
        <v>0</v>
      </c>
      <c r="H20" s="45">
        <f>(Table5!H45)</f>
        <v>0</v>
      </c>
      <c r="I20" s="45">
        <f>(Table5!I45)</f>
        <v>-1.1368683772161603E-13</v>
      </c>
      <c r="J20" s="45">
        <f>(Table5!K45)</f>
        <v>-1.1368683772161603E-13</v>
      </c>
      <c r="K20" s="45">
        <f>(Table5!L45)</f>
        <v>0</v>
      </c>
      <c r="L20" s="45">
        <f>(Table5!M45)</f>
        <v>0</v>
      </c>
      <c r="N20" s="51">
        <f>(Table5!P8)</f>
        <v>9.0949470177292824E-13</v>
      </c>
      <c r="O20" s="47">
        <f>(Table5!Q8)</f>
        <v>-1.8189894035458565E-12</v>
      </c>
    </row>
    <row r="21" spans="1:15" ht="12" customHeight="1" x14ac:dyDescent="0.15">
      <c r="A21" s="36"/>
      <c r="B21" s="63" t="s">
        <v>0</v>
      </c>
      <c r="C21" s="36" t="s">
        <v>48</v>
      </c>
      <c r="D21" s="45">
        <f>Table9!E45</f>
        <v>9.0949470177292824E-13</v>
      </c>
      <c r="E21" s="45">
        <f>Table9!F45</f>
        <v>-5.6843418860808015E-14</v>
      </c>
      <c r="F21" s="45" t="e">
        <f>#REF!</f>
        <v>#REF!</v>
      </c>
      <c r="G21" s="45">
        <f>Table9!G45</f>
        <v>0</v>
      </c>
      <c r="H21" s="45">
        <f>Table9!H45</f>
        <v>0</v>
      </c>
      <c r="I21" s="45">
        <f>Table9!I45</f>
        <v>0</v>
      </c>
      <c r="J21" s="45">
        <f>Table9!K45</f>
        <v>1.1368683772161603E-13</v>
      </c>
      <c r="K21" s="45">
        <f>Table9!L45</f>
        <v>0</v>
      </c>
      <c r="L21" s="45">
        <f>Table9!M45</f>
        <v>0</v>
      </c>
      <c r="N21" s="51">
        <f>(Table9!P8)</f>
        <v>0</v>
      </c>
      <c r="O21" s="47">
        <f>(Table9!Q8)</f>
        <v>0</v>
      </c>
    </row>
    <row r="22" spans="1:15" ht="12" customHeight="1" x14ac:dyDescent="0.15">
      <c r="A22" s="36"/>
      <c r="B22" s="10" t="s">
        <v>92</v>
      </c>
      <c r="C22" s="36" t="s">
        <v>48</v>
      </c>
      <c r="D22" s="45">
        <f>(Table6!E119)</f>
        <v>0</v>
      </c>
      <c r="E22" s="45">
        <f>(Table6!F119)</f>
        <v>4.5474735088646412E-13</v>
      </c>
      <c r="F22" s="45" t="e">
        <f>(#REF!)</f>
        <v>#REF!</v>
      </c>
      <c r="G22" s="45">
        <f>(Table6!G119)</f>
        <v>0</v>
      </c>
      <c r="H22" s="45">
        <f>(Table6!H119)</f>
        <v>0</v>
      </c>
      <c r="I22" s="45">
        <f>(Table6!I119)</f>
        <v>0</v>
      </c>
      <c r="J22" s="45">
        <f>(Table6!K119)</f>
        <v>1.4551915228366852E-11</v>
      </c>
      <c r="K22" s="45">
        <f>(Table6!L119)</f>
        <v>0</v>
      </c>
      <c r="L22" s="45">
        <f>(Table6!M119)</f>
        <v>1.1641532182693481E-10</v>
      </c>
      <c r="N22" s="51">
        <f>(Table6!P8)</f>
        <v>-2.9103830456733704E-11</v>
      </c>
      <c r="O22" s="47">
        <f>(Table6!Q8)</f>
        <v>-8.7311491370201111E-11</v>
      </c>
    </row>
    <row r="23" spans="1:15" ht="10.5" customHeight="1" x14ac:dyDescent="0.15">
      <c r="A23" s="36"/>
      <c r="B23" s="10" t="s">
        <v>43</v>
      </c>
      <c r="C23" s="36" t="s">
        <v>48</v>
      </c>
      <c r="D23" s="45">
        <f>(Table6!E125)</f>
        <v>-3.637978807091713E-12</v>
      </c>
      <c r="E23" s="45">
        <f>(Table6!F125)</f>
        <v>1.1368683772161603E-13</v>
      </c>
      <c r="F23" s="45" t="e">
        <f>(#REF!)</f>
        <v>#REF!</v>
      </c>
      <c r="G23" s="45">
        <f>(Table6!G125)</f>
        <v>0</v>
      </c>
      <c r="H23" s="45">
        <f>(Table6!H125)</f>
        <v>-9.0949470177292824E-13</v>
      </c>
      <c r="I23" s="45">
        <f>(Table6!I125)</f>
        <v>-1.9895196601282805E-13</v>
      </c>
      <c r="J23" s="45">
        <f>(Table6!K125)</f>
        <v>-1.4551915228366852E-11</v>
      </c>
      <c r="K23" s="45">
        <f>(Table6!L125)</f>
        <v>0</v>
      </c>
      <c r="L23" s="45">
        <f>(Table6!M125)</f>
        <v>1.8189894035458565E-11</v>
      </c>
      <c r="N23" s="51">
        <f>(Table6!P9)</f>
        <v>-1.4551915228366852E-11</v>
      </c>
      <c r="O23" s="47">
        <f>(Table6!Q9)</f>
        <v>0</v>
      </c>
    </row>
    <row r="24" spans="1:15" ht="10.5" customHeight="1" x14ac:dyDescent="0.15">
      <c r="A24" s="36"/>
      <c r="B24" s="10" t="s">
        <v>93</v>
      </c>
      <c r="C24" s="36" t="s">
        <v>48</v>
      </c>
      <c r="D24" s="45">
        <f>(Table6!E120)</f>
        <v>-1.2732925824820995E-11</v>
      </c>
      <c r="E24" s="45">
        <f>(Table6!F120)</f>
        <v>-1.4210854715202004E-13</v>
      </c>
      <c r="F24" s="45" t="e">
        <f>(#REF!)</f>
        <v>#REF!</v>
      </c>
      <c r="G24" s="45">
        <f>(Table6!G120)</f>
        <v>0</v>
      </c>
      <c r="H24" s="45">
        <f>(Table6!H120)</f>
        <v>2.3646862246096134E-11</v>
      </c>
      <c r="I24" s="45">
        <f>(Table6!I120)</f>
        <v>0</v>
      </c>
      <c r="J24" s="45">
        <f>(Table6!K120)</f>
        <v>1.8356427489152338E-12</v>
      </c>
      <c r="K24" s="45">
        <f>(Table6!L120)</f>
        <v>0</v>
      </c>
      <c r="L24" s="45">
        <f>(Table6!M120)</f>
        <v>3.637978807091713E-12</v>
      </c>
      <c r="N24" s="51">
        <f>(Table6!P22)</f>
        <v>-2.9103830456733704E-11</v>
      </c>
      <c r="O24" s="47">
        <f>(Table6!Q22)</f>
        <v>5.8207660913467407E-11</v>
      </c>
    </row>
    <row r="25" spans="1:15" ht="10.5" customHeight="1" x14ac:dyDescent="0.15">
      <c r="A25" s="38"/>
      <c r="B25" s="38" t="s">
        <v>49</v>
      </c>
      <c r="C25" s="38" t="s">
        <v>48</v>
      </c>
      <c r="D25" s="48">
        <f>(Table6!E122)</f>
        <v>0</v>
      </c>
      <c r="E25" s="48">
        <f>(Table6!F122)</f>
        <v>-8.486961133868931E-14</v>
      </c>
      <c r="F25" s="48" t="e">
        <f>(#REF!)</f>
        <v>#REF!</v>
      </c>
      <c r="G25" s="48">
        <f>(Table6!G122)</f>
        <v>0</v>
      </c>
      <c r="H25" s="48">
        <f>(Table6!H122)</f>
        <v>5.8207660913467407E-11</v>
      </c>
      <c r="I25" s="48">
        <f>(Table6!I122)</f>
        <v>1.7434942378713458E-12</v>
      </c>
      <c r="J25" s="48">
        <f>(Table6!K122)</f>
        <v>-9.0949470177292824E-13</v>
      </c>
      <c r="K25" s="48">
        <f>(Table6!L122)</f>
        <v>0</v>
      </c>
      <c r="L25" s="48">
        <f>(Table6!M122)</f>
        <v>0</v>
      </c>
      <c r="N25" s="56">
        <f>(Table6!P64)</f>
        <v>0</v>
      </c>
      <c r="O25" s="57">
        <f>(Table6!Q64)</f>
        <v>0</v>
      </c>
    </row>
    <row r="26" spans="1:15" ht="12.95" customHeight="1" x14ac:dyDescent="0.2">
      <c r="A26" s="31" t="s">
        <v>99</v>
      </c>
      <c r="C26" s="10" t="s">
        <v>48</v>
      </c>
      <c r="D26" s="45"/>
      <c r="E26" s="45"/>
      <c r="F26" s="45"/>
      <c r="G26" s="45"/>
      <c r="H26" s="45"/>
      <c r="I26" s="45"/>
      <c r="J26" s="45"/>
      <c r="K26" s="45"/>
      <c r="L26" s="45"/>
      <c r="N26" s="51"/>
      <c r="O26" s="47"/>
    </row>
    <row r="27" spans="1:15" ht="12.2" customHeight="1" x14ac:dyDescent="0.15">
      <c r="B27" s="10" t="s">
        <v>65</v>
      </c>
      <c r="C27" s="10" t="s">
        <v>48</v>
      </c>
      <c r="D27" s="45" t="e">
        <f>(#REF!)</f>
        <v>#REF!</v>
      </c>
      <c r="E27" s="45" t="e">
        <f>(#REF!)</f>
        <v>#REF!</v>
      </c>
      <c r="F27" s="45" t="e">
        <f>(#REF!)</f>
        <v>#REF!</v>
      </c>
      <c r="G27" s="45" t="e">
        <f>(#REF!)</f>
        <v>#REF!</v>
      </c>
      <c r="H27" s="45" t="e">
        <f>(#REF!)</f>
        <v>#REF!</v>
      </c>
      <c r="I27" s="45" t="e">
        <f>(#REF!)</f>
        <v>#REF!</v>
      </c>
      <c r="J27" s="45" t="e">
        <f>(#REF!)</f>
        <v>#REF!</v>
      </c>
      <c r="K27" s="45" t="e">
        <f>(#REF!)</f>
        <v>#REF!</v>
      </c>
      <c r="L27" s="45" t="e">
        <f>(#REF!)</f>
        <v>#REF!</v>
      </c>
      <c r="N27" s="52"/>
      <c r="O27" s="53"/>
    </row>
    <row r="28" spans="1:15" ht="10.5" customHeight="1" x14ac:dyDescent="0.15">
      <c r="B28" s="10" t="s">
        <v>118</v>
      </c>
      <c r="C28" s="10" t="s">
        <v>48</v>
      </c>
      <c r="D28" s="45" t="e">
        <f>(#REF!)</f>
        <v>#REF!</v>
      </c>
      <c r="E28" s="45" t="e">
        <f>(#REF!)</f>
        <v>#REF!</v>
      </c>
      <c r="F28" s="45" t="e">
        <f>(#REF!)</f>
        <v>#REF!</v>
      </c>
      <c r="G28" s="45" t="e">
        <f>(#REF!)</f>
        <v>#REF!</v>
      </c>
      <c r="H28" s="45" t="e">
        <f>(#REF!)</f>
        <v>#REF!</v>
      </c>
      <c r="I28" s="45" t="e">
        <f>(#REF!)</f>
        <v>#REF!</v>
      </c>
      <c r="J28" s="45" t="e">
        <f>(#REF!)</f>
        <v>#REF!</v>
      </c>
      <c r="K28" s="45" t="e">
        <f>(#REF!)</f>
        <v>#REF!</v>
      </c>
      <c r="L28" s="45" t="e">
        <f>(#REF!)</f>
        <v>#REF!</v>
      </c>
      <c r="N28" s="52"/>
      <c r="O28" s="53"/>
    </row>
    <row r="29" spans="1:15" ht="10.5" customHeight="1" x14ac:dyDescent="0.15">
      <c r="B29" s="10" t="s">
        <v>139</v>
      </c>
      <c r="C29" s="10" t="s">
        <v>48</v>
      </c>
      <c r="D29" s="45" t="e">
        <f>(#REF!)</f>
        <v>#REF!</v>
      </c>
      <c r="E29" s="45" t="e">
        <f>(#REF!)</f>
        <v>#REF!</v>
      </c>
      <c r="F29" s="45" t="e">
        <f>(#REF!)</f>
        <v>#REF!</v>
      </c>
      <c r="G29" s="45" t="e">
        <f>(#REF!)</f>
        <v>#REF!</v>
      </c>
      <c r="H29" s="45" t="e">
        <f>(#REF!)</f>
        <v>#REF!</v>
      </c>
      <c r="I29" s="45" t="e">
        <f>(#REF!)</f>
        <v>#REF!</v>
      </c>
      <c r="J29" s="45" t="e">
        <f>(#REF!)</f>
        <v>#REF!</v>
      </c>
      <c r="K29" s="45" t="e">
        <f>(#REF!)</f>
        <v>#REF!</v>
      </c>
      <c r="L29" s="45" t="e">
        <f>(#REF!)</f>
        <v>#REF!</v>
      </c>
      <c r="N29" s="52"/>
      <c r="O29" s="53"/>
    </row>
    <row r="30" spans="1:15" ht="10.5" customHeight="1" x14ac:dyDescent="0.15">
      <c r="B30" s="10" t="s">
        <v>54</v>
      </c>
      <c r="C30" s="10" t="s">
        <v>48</v>
      </c>
      <c r="D30" s="45" t="e">
        <f>(#REF!)</f>
        <v>#REF!</v>
      </c>
      <c r="E30" s="45" t="e">
        <f>(#REF!)</f>
        <v>#REF!</v>
      </c>
      <c r="F30" s="45" t="e">
        <f>(#REF!)</f>
        <v>#REF!</v>
      </c>
      <c r="G30" s="45" t="e">
        <f>(#REF!)</f>
        <v>#REF!</v>
      </c>
      <c r="H30" s="45" t="e">
        <f>(#REF!)</f>
        <v>#REF!</v>
      </c>
      <c r="I30" s="45" t="e">
        <f>(#REF!)</f>
        <v>#REF!</v>
      </c>
      <c r="J30" s="45" t="e">
        <f>(#REF!)</f>
        <v>#REF!</v>
      </c>
      <c r="K30" s="45" t="e">
        <f>(#REF!)</f>
        <v>#REF!</v>
      </c>
      <c r="L30" s="45" t="e">
        <f>(#REF!)</f>
        <v>#REF!</v>
      </c>
      <c r="N30" s="52"/>
      <c r="O30" s="53"/>
    </row>
    <row r="31" spans="1:15" ht="10.5" customHeight="1" x14ac:dyDescent="0.15">
      <c r="B31" s="10" t="s">
        <v>125</v>
      </c>
      <c r="C31" s="10" t="s">
        <v>48</v>
      </c>
      <c r="D31" s="45" t="e">
        <f>(#REF!)</f>
        <v>#REF!</v>
      </c>
      <c r="E31" s="45" t="e">
        <f>(#REF!)</f>
        <v>#REF!</v>
      </c>
      <c r="F31" s="45" t="e">
        <f>(#REF!)</f>
        <v>#REF!</v>
      </c>
      <c r="G31" s="45" t="e">
        <f>(#REF!)</f>
        <v>#REF!</v>
      </c>
      <c r="H31" s="45" t="e">
        <f>(#REF!)</f>
        <v>#REF!</v>
      </c>
      <c r="I31" s="45" t="e">
        <f>(#REF!)</f>
        <v>#REF!</v>
      </c>
      <c r="J31" s="45" t="e">
        <f>(#REF!)</f>
        <v>#REF!</v>
      </c>
      <c r="K31" s="45" t="e">
        <f>(#REF!)</f>
        <v>#REF!</v>
      </c>
      <c r="L31" s="45" t="e">
        <f>(#REF!)</f>
        <v>#REF!</v>
      </c>
      <c r="N31" s="52"/>
      <c r="O31" s="53"/>
    </row>
    <row r="32" spans="1:15" ht="10.5" customHeight="1" x14ac:dyDescent="0.15">
      <c r="B32" s="10" t="s">
        <v>75</v>
      </c>
      <c r="C32" s="10" t="s">
        <v>48</v>
      </c>
      <c r="D32" s="45" t="e">
        <f>(#REF!)</f>
        <v>#REF!</v>
      </c>
      <c r="E32" s="45" t="e">
        <f>(#REF!)</f>
        <v>#REF!</v>
      </c>
      <c r="F32" s="45" t="e">
        <f>(#REF!)</f>
        <v>#REF!</v>
      </c>
      <c r="G32" s="45" t="e">
        <f>(#REF!)</f>
        <v>#REF!</v>
      </c>
      <c r="H32" s="45" t="e">
        <f>(#REF!)</f>
        <v>#REF!</v>
      </c>
      <c r="I32" s="45" t="e">
        <f>(#REF!)</f>
        <v>#REF!</v>
      </c>
      <c r="J32" s="45" t="e">
        <f>(#REF!)</f>
        <v>#REF!</v>
      </c>
      <c r="K32" s="45" t="e">
        <f>(#REF!)</f>
        <v>#REF!</v>
      </c>
      <c r="L32" s="45" t="e">
        <f>(#REF!)</f>
        <v>#REF!</v>
      </c>
      <c r="N32" s="52"/>
      <c r="O32" s="53"/>
    </row>
    <row r="33" spans="1:15" ht="10.5" customHeight="1" x14ac:dyDescent="0.15">
      <c r="A33" s="38"/>
      <c r="B33" s="38" t="s">
        <v>103</v>
      </c>
      <c r="C33" s="38" t="s">
        <v>48</v>
      </c>
      <c r="D33" s="48" t="e">
        <f>(#REF!)</f>
        <v>#REF!</v>
      </c>
      <c r="E33" s="48" t="e">
        <f>(#REF!)</f>
        <v>#REF!</v>
      </c>
      <c r="F33" s="48" t="e">
        <f>(#REF!)</f>
        <v>#REF!</v>
      </c>
      <c r="G33" s="48" t="e">
        <f>(#REF!)</f>
        <v>#REF!</v>
      </c>
      <c r="H33" s="48" t="e">
        <f>(#REF!)</f>
        <v>#REF!</v>
      </c>
      <c r="I33" s="48" t="e">
        <f>(#REF!)</f>
        <v>#REF!</v>
      </c>
      <c r="J33" s="48" t="e">
        <f>(#REF!)</f>
        <v>#REF!</v>
      </c>
      <c r="K33" s="48" t="e">
        <f>(#REF!)</f>
        <v>#REF!</v>
      </c>
      <c r="L33" s="48" t="e">
        <f>(#REF!)</f>
        <v>#REF!</v>
      </c>
      <c r="N33" s="54"/>
      <c r="O33" s="55"/>
    </row>
    <row r="34" spans="1:15" ht="12" customHeight="1" x14ac:dyDescent="0.15">
      <c r="A34" s="31" t="s">
        <v>133</v>
      </c>
      <c r="B34" s="36"/>
      <c r="C34" s="36"/>
      <c r="D34" s="45"/>
      <c r="E34" s="45"/>
      <c r="F34" s="45"/>
      <c r="G34" s="45"/>
      <c r="H34" s="45"/>
      <c r="I34" s="45"/>
      <c r="J34" s="45"/>
      <c r="K34" s="45"/>
      <c r="L34" s="45"/>
      <c r="N34" s="51"/>
      <c r="O34" s="47"/>
    </row>
    <row r="35" spans="1:15" ht="12" customHeight="1" x14ac:dyDescent="0.15">
      <c r="A35" s="31"/>
      <c r="B35" s="36" t="s">
        <v>50</v>
      </c>
      <c r="C35" s="36" t="s">
        <v>48</v>
      </c>
      <c r="D35" s="45">
        <f>(Table7!E111)</f>
        <v>223928.79378599999</v>
      </c>
      <c r="E35" s="45">
        <f>(Table7!F111)</f>
        <v>4154.8208509999995</v>
      </c>
      <c r="F35" s="45" t="e">
        <f>(#REF!)</f>
        <v>#REF!</v>
      </c>
      <c r="G35" s="45">
        <f>(Table7!G111)</f>
        <v>-3382.9422169999889</v>
      </c>
      <c r="H35" s="45">
        <f>(Table7!H111)</f>
        <v>224700.67241999999</v>
      </c>
      <c r="I35" s="45">
        <f>(Table7!I111)</f>
        <v>3270.6657459999997</v>
      </c>
      <c r="J35" s="45">
        <f>(Table7!K111)</f>
        <v>68488.508537000002</v>
      </c>
      <c r="K35" s="45">
        <f>(Table7!L111)</f>
        <v>-59207.460456000001</v>
      </c>
      <c r="L35" s="45">
        <f>(Table7!M111)</f>
        <v>265953.97044226015</v>
      </c>
      <c r="N35" s="51">
        <f>(Table7!P8)</f>
        <v>0</v>
      </c>
      <c r="O35" s="47">
        <f>(Table7!Q8)</f>
        <v>0</v>
      </c>
    </row>
    <row r="36" spans="1:15" ht="10.5" customHeight="1" x14ac:dyDescent="0.15">
      <c r="A36" s="36"/>
      <c r="B36" s="36" t="s">
        <v>94</v>
      </c>
      <c r="C36" s="36" t="s">
        <v>48</v>
      </c>
      <c r="D36" s="45" t="e">
        <f>(#REF!)</f>
        <v>#REF!</v>
      </c>
      <c r="E36" s="45" t="e">
        <f>(#REF!)</f>
        <v>#REF!</v>
      </c>
      <c r="F36" s="45" t="e">
        <f>(#REF!)</f>
        <v>#REF!</v>
      </c>
      <c r="G36" s="45" t="e">
        <f>(#REF!)</f>
        <v>#REF!</v>
      </c>
      <c r="H36" s="45" t="e">
        <f>(#REF!)</f>
        <v>#REF!</v>
      </c>
      <c r="I36" s="45" t="e">
        <f>(#REF!)</f>
        <v>#REF!</v>
      </c>
      <c r="J36" s="45" t="e">
        <f>(#REF!)</f>
        <v>#REF!</v>
      </c>
      <c r="K36" s="45" t="e">
        <f>(#REF!)</f>
        <v>#REF!</v>
      </c>
      <c r="L36" s="45" t="e">
        <f>(#REF!)</f>
        <v>#REF!</v>
      </c>
      <c r="N36" s="51">
        <f>(Table8A!P8)</f>
        <v>-7.2759576141834259E-12</v>
      </c>
      <c r="O36" s="47">
        <f>(Table8A!Q8)</f>
        <v>0</v>
      </c>
    </row>
    <row r="37" spans="1:15" ht="10.5" customHeight="1" x14ac:dyDescent="0.15">
      <c r="A37" s="36"/>
      <c r="B37" s="36" t="s">
        <v>126</v>
      </c>
      <c r="C37" s="36" t="s">
        <v>48</v>
      </c>
      <c r="D37" s="45" t="e">
        <f>(#REF!)</f>
        <v>#REF!</v>
      </c>
      <c r="E37" s="45" t="e">
        <f>(#REF!)</f>
        <v>#REF!</v>
      </c>
      <c r="F37" s="45" t="e">
        <f>(#REF!)</f>
        <v>#REF!</v>
      </c>
      <c r="G37" s="45" t="e">
        <f>(#REF!)</f>
        <v>#REF!</v>
      </c>
      <c r="H37" s="45" t="e">
        <f>(#REF!)</f>
        <v>#REF!</v>
      </c>
      <c r="I37" s="45" t="e">
        <f>(#REF!)</f>
        <v>#REF!</v>
      </c>
      <c r="J37" s="45" t="e">
        <f>(#REF!)</f>
        <v>#REF!</v>
      </c>
      <c r="K37" s="45" t="e">
        <f>(#REF!)</f>
        <v>#REF!</v>
      </c>
      <c r="L37" s="45" t="e">
        <f>(#REF!)</f>
        <v>#REF!</v>
      </c>
      <c r="N37" s="51">
        <f>(Table8A!P9)</f>
        <v>-7.2759576141834259E-12</v>
      </c>
      <c r="O37" s="47">
        <f>(Table8A!Q9)</f>
        <v>7.2759576141834259E-12</v>
      </c>
    </row>
    <row r="38" spans="1:15" ht="10.5" customHeight="1" x14ac:dyDescent="0.15">
      <c r="A38" s="36"/>
      <c r="B38" s="36" t="s">
        <v>127</v>
      </c>
      <c r="C38" s="36" t="s">
        <v>48</v>
      </c>
      <c r="D38" s="45" t="e">
        <f>(#REF!)</f>
        <v>#REF!</v>
      </c>
      <c r="E38" s="45" t="e">
        <f>(#REF!)</f>
        <v>#REF!</v>
      </c>
      <c r="F38" s="45" t="e">
        <f>(#REF!)</f>
        <v>#REF!</v>
      </c>
      <c r="G38" s="45" t="e">
        <f>(#REF!)</f>
        <v>#REF!</v>
      </c>
      <c r="H38" s="45" t="e">
        <f>(#REF!)</f>
        <v>#REF!</v>
      </c>
      <c r="I38" s="45" t="e">
        <f>(#REF!)</f>
        <v>#REF!</v>
      </c>
      <c r="J38" s="45" t="e">
        <f>(#REF!)</f>
        <v>#REF!</v>
      </c>
      <c r="K38" s="45" t="e">
        <f>(#REF!)</f>
        <v>#REF!</v>
      </c>
      <c r="L38" s="45" t="e">
        <f>(#REF!)</f>
        <v>#REF!</v>
      </c>
      <c r="N38" s="51">
        <f>(Table8A!P22)</f>
        <v>-1.4210854715202004E-14</v>
      </c>
      <c r="O38" s="47">
        <f>(Table8A!Q22)</f>
        <v>-5.6843418860808015E-14</v>
      </c>
    </row>
    <row r="39" spans="1:15" ht="10.5" customHeight="1" x14ac:dyDescent="0.15">
      <c r="A39" s="36"/>
      <c r="B39" s="36" t="s">
        <v>132</v>
      </c>
      <c r="C39" s="36" t="s">
        <v>48</v>
      </c>
      <c r="D39" s="45" t="e">
        <f>(#REF!)</f>
        <v>#REF!</v>
      </c>
      <c r="E39" s="45" t="e">
        <f>(#REF!)</f>
        <v>#REF!</v>
      </c>
      <c r="F39" s="45" t="e">
        <f>(#REF!)</f>
        <v>#REF!</v>
      </c>
      <c r="G39" s="45" t="e">
        <f>(#REF!)</f>
        <v>#REF!</v>
      </c>
      <c r="H39" s="45" t="e">
        <f>(#REF!)</f>
        <v>#REF!</v>
      </c>
      <c r="I39" s="45" t="e">
        <f>(#REF!)</f>
        <v>#REF!</v>
      </c>
      <c r="J39" s="45" t="e">
        <f>(#REF!)</f>
        <v>#REF!</v>
      </c>
      <c r="K39" s="45" t="e">
        <f>(#REF!)</f>
        <v>#REF!</v>
      </c>
      <c r="L39" s="45" t="e">
        <f>(#REF!)</f>
        <v>#REF!</v>
      </c>
      <c r="N39" s="51">
        <f>(Table8A!P27)</f>
        <v>0</v>
      </c>
      <c r="O39" s="47">
        <f>(Table8A!Q27)</f>
        <v>0</v>
      </c>
    </row>
    <row r="40" spans="1:15" ht="10.5" customHeight="1" x14ac:dyDescent="0.15">
      <c r="A40" s="36"/>
      <c r="B40" s="36" t="s">
        <v>129</v>
      </c>
      <c r="C40" s="36" t="s">
        <v>48</v>
      </c>
      <c r="D40" s="45" t="e">
        <f>(#REF!)</f>
        <v>#REF!</v>
      </c>
      <c r="E40" s="45" t="e">
        <f>(#REF!)</f>
        <v>#REF!</v>
      </c>
      <c r="F40" s="45" t="e">
        <f>(#REF!)</f>
        <v>#REF!</v>
      </c>
      <c r="G40" s="45" t="e">
        <f>(#REF!)</f>
        <v>#REF!</v>
      </c>
      <c r="H40" s="45" t="e">
        <f>(#REF!)</f>
        <v>#REF!</v>
      </c>
      <c r="I40" s="45" t="e">
        <f>(#REF!)</f>
        <v>#REF!</v>
      </c>
      <c r="J40" s="45" t="e">
        <f>(#REF!)</f>
        <v>#REF!</v>
      </c>
      <c r="K40" s="45" t="e">
        <f>(#REF!)</f>
        <v>#REF!</v>
      </c>
      <c r="L40" s="45" t="e">
        <f>(#REF!)</f>
        <v>#REF!</v>
      </c>
      <c r="N40" s="51">
        <f>(Table8A!P28)</f>
        <v>-1.4551915228366852E-11</v>
      </c>
      <c r="O40" s="47">
        <f>(Table8A!Q28)</f>
        <v>0</v>
      </c>
    </row>
    <row r="41" spans="1:15" ht="10.5" customHeight="1" x14ac:dyDescent="0.15">
      <c r="A41" s="39"/>
      <c r="B41" s="39" t="s">
        <v>130</v>
      </c>
      <c r="C41" s="39" t="s">
        <v>48</v>
      </c>
      <c r="D41" s="50" t="e">
        <f>(#REF!)</f>
        <v>#REF!</v>
      </c>
      <c r="E41" s="50" t="e">
        <f>(#REF!)</f>
        <v>#REF!</v>
      </c>
      <c r="F41" s="50" t="e">
        <f>(#REF!)</f>
        <v>#REF!</v>
      </c>
      <c r="G41" s="50" t="e">
        <f>(#REF!)</f>
        <v>#REF!</v>
      </c>
      <c r="H41" s="50" t="e">
        <f>(#REF!)</f>
        <v>#REF!</v>
      </c>
      <c r="I41" s="50" t="e">
        <f>(#REF!)</f>
        <v>#REF!</v>
      </c>
      <c r="J41" s="50" t="e">
        <f>(#REF!)</f>
        <v>#REF!</v>
      </c>
      <c r="K41" s="50" t="e">
        <f>(#REF!)</f>
        <v>#REF!</v>
      </c>
      <c r="L41" s="50" t="e">
        <f>(#REF!)</f>
        <v>#REF!</v>
      </c>
      <c r="N41" s="58">
        <f>(Table8A!P41)</f>
        <v>0</v>
      </c>
      <c r="O41" s="59">
        <f>(Table8A!Q41)</f>
        <v>4.5474735088646412E-13</v>
      </c>
    </row>
    <row r="42" spans="1:15" ht="12" customHeight="1" x14ac:dyDescent="0.15">
      <c r="A42" s="10" t="s">
        <v>100</v>
      </c>
      <c r="D42" s="40"/>
      <c r="E42" s="40"/>
      <c r="F42" s="40"/>
      <c r="G42" s="40"/>
      <c r="H42" s="40"/>
      <c r="I42" s="40"/>
      <c r="J42" s="40"/>
      <c r="K42" s="40"/>
      <c r="L42" s="40"/>
    </row>
    <row r="43" spans="1:15" ht="10.5" customHeight="1" x14ac:dyDescent="0.15">
      <c r="A43" s="10" t="s">
        <v>101</v>
      </c>
    </row>
    <row r="44" spans="1:15" ht="10.5" customHeight="1" x14ac:dyDescent="0.15">
      <c r="A44" s="10" t="s">
        <v>112</v>
      </c>
    </row>
    <row r="45" spans="1:15" ht="10.5" customHeight="1" x14ac:dyDescent="0.15">
      <c r="A45" s="10" t="s">
        <v>51</v>
      </c>
    </row>
  </sheetData>
  <sheetProtection password="EECE" sheet="1" objects="1" scenarios="1" formatCells="0" formatColumns="0" formatRows="0"/>
  <customSheetViews>
    <customSheetView guid="{C3088B2E-F853-4D7E-B687-C6500891DFCB}" showPageBreaks="1" printArea="1" state="hidden">
      <pane xSplit="3" ySplit="6" topLeftCell="D7" activePane="bottomRight" state="frozen"/>
      <selection pane="bottomRight" activeCell="A2" sqref="A2"/>
      <pageMargins left="0.43307086614173229" right="0.43307086614173229" top="0.59055118110236227" bottom="0.59055118110236227" header="0.39370078740157483" footer="0.39370078740157483"/>
      <pageSetup orientation="landscape" r:id="rId1"/>
      <headerFooter alignWithMargins="0">
        <oddFooter>&amp;C&amp;8&amp;D &amp;T&amp;R&amp;8&amp;P</oddFooter>
      </headerFooter>
    </customSheetView>
    <customSheetView guid="{F866C9B2-56BF-4FE4-B270-CC8FE15A5892}" showPageBreaks="1" printArea="1" state="hidden">
      <pane xSplit="3" ySplit="6" topLeftCell="D7" activePane="bottomRight" state="frozen"/>
      <selection pane="bottomRight" activeCell="A2" sqref="A2"/>
      <pageMargins left="0.43307086614173229" right="0.43307086614173229" top="0.59055118110236227" bottom="0.59055118110236227" header="0.39370078740157483" footer="0.39370078740157483"/>
      <pageSetup orientation="landscape" r:id="rId2"/>
      <headerFooter alignWithMargins="0">
        <oddFooter>&amp;C&amp;8&amp;D &amp;T&amp;R&amp;8&amp;P</oddFooter>
      </headerFooter>
    </customSheetView>
    <customSheetView guid="{D66484CB-9D53-43A1-A83D-11534BC40BF6}" showPageBreaks="1" printArea="1" state="hidden">
      <pane xSplit="3" ySplit="6" topLeftCell="D7" activePane="bottomRight" state="frozen"/>
      <selection pane="bottomRight" activeCell="A2" sqref="A2"/>
      <pageMargins left="0.43307086614173229" right="0.43307086614173229" top="0.59055118110236227" bottom="0.59055118110236227" header="0.39370078740157483" footer="0.39370078740157483"/>
      <pageSetup orientation="landscape" r:id="rId3"/>
      <headerFooter alignWithMargins="0">
        <oddFooter>&amp;C&amp;8&amp;D &amp;T&amp;R&amp;8&amp;P</oddFooter>
      </headerFooter>
    </customSheetView>
  </customSheetViews>
  <mergeCells count="9">
    <mergeCell ref="A4:B5"/>
    <mergeCell ref="D4:H4"/>
    <mergeCell ref="I4:I5"/>
    <mergeCell ref="J4:J5"/>
    <mergeCell ref="N4:O4"/>
    <mergeCell ref="G1:K1"/>
    <mergeCell ref="G3:H3"/>
    <mergeCell ref="K4:K5"/>
    <mergeCell ref="L4:L5"/>
  </mergeCells>
  <pageMargins left="0.43307086614173201" right="0.43307086614173201" top="0.59055118110236204" bottom="0.59055118110236204" header="0.39370078740157499" footer="0.39370078740157499"/>
  <pageSetup orientation="landscape" r:id="rId4"/>
  <headerFooter alignWithMargins="0">
    <oddFooter>&amp;C&amp;8&amp;D &amp;T&amp;R&amp;8&amp;P</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1"/>
  </sheetPr>
  <dimension ref="A1:O47"/>
  <sheetViews>
    <sheetView workbookViewId="0">
      <pane xSplit="3" ySplit="6" topLeftCell="D7" activePane="bottomRight" state="frozen"/>
      <selection pane="topRight" activeCell="D1" sqref="D1"/>
      <selection pane="bottomLeft" activeCell="A7" sqref="A7"/>
      <selection pane="bottomRight" activeCell="A2" sqref="A2"/>
    </sheetView>
  </sheetViews>
  <sheetFormatPr baseColWidth="10" defaultColWidth="9.140625" defaultRowHeight="9" x14ac:dyDescent="0.15"/>
  <cols>
    <col min="1" max="1" width="1.42578125" style="10" customWidth="1"/>
    <col min="2" max="2" width="23.85546875" style="10" customWidth="1"/>
    <col min="3" max="3" width="0.85546875" style="10" customWidth="1"/>
    <col min="4" max="12" width="9.5703125" style="10" customWidth="1"/>
    <col min="13" max="13" width="0.42578125" style="10" customWidth="1"/>
    <col min="14" max="15" width="9.42578125" style="10" customWidth="1"/>
    <col min="16" max="16" width="9.140625" style="10" customWidth="1"/>
    <col min="17" max="16384" width="9.140625" style="10"/>
  </cols>
  <sheetData>
    <row r="1" spans="1:15" ht="12" x14ac:dyDescent="0.2">
      <c r="A1" s="64" t="str">
        <f>+Coverpage!A1</f>
        <v>GFSM2014_V1.5</v>
      </c>
      <c r="B1" s="41"/>
      <c r="C1" s="7"/>
      <c r="D1" s="8"/>
      <c r="E1" s="9"/>
      <c r="F1" s="9"/>
      <c r="G1" s="827" t="str">
        <f>Coverpage!I8</f>
        <v>Colombia</v>
      </c>
      <c r="H1" s="827"/>
      <c r="I1" s="827"/>
      <c r="J1" s="827"/>
      <c r="K1" s="827"/>
      <c r="L1" s="43" t="str">
        <f>Coverpage!I9</f>
        <v>233</v>
      </c>
    </row>
    <row r="2" spans="1:15" ht="12" customHeight="1" x14ac:dyDescent="0.2">
      <c r="A2" s="60" t="s">
        <v>113</v>
      </c>
      <c r="B2" s="42"/>
      <c r="C2" s="11"/>
      <c r="D2" s="12"/>
      <c r="E2" s="9"/>
      <c r="F2" s="9"/>
      <c r="G2" s="62"/>
      <c r="H2" s="62"/>
      <c r="I2" s="62"/>
      <c r="J2" s="62"/>
      <c r="K2" s="62"/>
      <c r="L2" s="62"/>
    </row>
    <row r="3" spans="1:15" ht="12.95" customHeight="1" x14ac:dyDescent="0.15">
      <c r="A3" s="13"/>
      <c r="B3" s="14"/>
      <c r="C3" s="14"/>
      <c r="D3" s="15"/>
      <c r="E3" s="16"/>
      <c r="F3" s="16"/>
      <c r="G3" s="828" t="s">
        <v>46</v>
      </c>
      <c r="H3" s="828"/>
      <c r="I3" s="17" t="str">
        <f>Coverpage!I10</f>
        <v>2016</v>
      </c>
      <c r="J3" s="16"/>
      <c r="K3" s="16"/>
      <c r="L3" s="18"/>
    </row>
    <row r="4" spans="1:15" ht="12.95" customHeight="1" x14ac:dyDescent="0.2">
      <c r="A4" s="832" t="s">
        <v>106</v>
      </c>
      <c r="B4" s="832"/>
      <c r="C4" s="19"/>
      <c r="D4" s="833" t="s">
        <v>76</v>
      </c>
      <c r="E4" s="834"/>
      <c r="F4" s="834"/>
      <c r="G4" s="834"/>
      <c r="H4" s="835"/>
      <c r="I4" s="829" t="s">
        <v>77</v>
      </c>
      <c r="J4" s="836" t="s">
        <v>78</v>
      </c>
      <c r="K4" s="829" t="s">
        <v>79</v>
      </c>
      <c r="L4" s="831" t="s">
        <v>114</v>
      </c>
      <c r="N4" s="825" t="s">
        <v>98</v>
      </c>
      <c r="O4" s="826"/>
    </row>
    <row r="5" spans="1:15" ht="33" customHeight="1" x14ac:dyDescent="0.15">
      <c r="A5" s="832"/>
      <c r="B5" s="832"/>
      <c r="C5" s="19"/>
      <c r="D5" s="21" t="s">
        <v>89</v>
      </c>
      <c r="E5" s="22" t="s">
        <v>90</v>
      </c>
      <c r="F5" s="20" t="s">
        <v>45</v>
      </c>
      <c r="G5" s="22" t="s">
        <v>79</v>
      </c>
      <c r="H5" s="20" t="s">
        <v>76</v>
      </c>
      <c r="I5" s="830"/>
      <c r="J5" s="836"/>
      <c r="K5" s="830"/>
      <c r="L5" s="831"/>
      <c r="N5" s="23" t="s">
        <v>142</v>
      </c>
      <c r="O5" s="24" t="s">
        <v>144</v>
      </c>
    </row>
    <row r="6" spans="1:15" ht="10.5" customHeight="1" x14ac:dyDescent="0.15">
      <c r="A6" s="25"/>
      <c r="B6" s="26"/>
      <c r="C6" s="26"/>
      <c r="D6" s="27" t="s">
        <v>80</v>
      </c>
      <c r="E6" s="28" t="s">
        <v>81</v>
      </c>
      <c r="F6" s="29" t="s">
        <v>82</v>
      </c>
      <c r="G6" s="28" t="s">
        <v>83</v>
      </c>
      <c r="H6" s="29" t="s">
        <v>84</v>
      </c>
      <c r="I6" s="28" t="s">
        <v>85</v>
      </c>
      <c r="J6" s="29" t="s">
        <v>86</v>
      </c>
      <c r="K6" s="28" t="s">
        <v>87</v>
      </c>
      <c r="L6" s="30" t="s">
        <v>88</v>
      </c>
      <c r="N6" s="5" t="s">
        <v>143</v>
      </c>
      <c r="O6" s="6" t="s">
        <v>145</v>
      </c>
    </row>
    <row r="7" spans="1:15" ht="10.5" customHeight="1" x14ac:dyDescent="0.15">
      <c r="A7" s="31" t="s">
        <v>91</v>
      </c>
      <c r="C7" s="10" t="s">
        <v>48</v>
      </c>
      <c r="D7" s="32"/>
      <c r="E7" s="33"/>
      <c r="F7" s="33"/>
      <c r="G7" s="33"/>
      <c r="H7" s="33"/>
      <c r="I7" s="33"/>
      <c r="J7" s="33"/>
      <c r="K7" s="33"/>
      <c r="L7" s="33"/>
      <c r="N7" s="34"/>
      <c r="O7" s="35"/>
    </row>
    <row r="8" spans="1:15" ht="12.2" customHeight="1" x14ac:dyDescent="0.15">
      <c r="B8" s="4" t="s">
        <v>111</v>
      </c>
      <c r="C8" s="10" t="s">
        <v>48</v>
      </c>
      <c r="D8" s="45" t="e">
        <f>(#REF!)</f>
        <v>#REF!</v>
      </c>
      <c r="E8" s="45" t="e">
        <f>(#REF!)</f>
        <v>#REF!</v>
      </c>
      <c r="F8" s="45" t="e">
        <f>(#REF!)</f>
        <v>#REF!</v>
      </c>
      <c r="G8" s="45" t="e">
        <f>(#REF!)</f>
        <v>#REF!</v>
      </c>
      <c r="H8" s="45" t="e">
        <f>(#REF!)</f>
        <v>#REF!</v>
      </c>
      <c r="I8" s="45" t="e">
        <f>(#REF!)</f>
        <v>#REF!</v>
      </c>
      <c r="J8" s="45" t="e">
        <f>(#REF!)</f>
        <v>#REF!</v>
      </c>
      <c r="K8" s="45" t="e">
        <f>(#REF!)</f>
        <v>#REF!</v>
      </c>
      <c r="L8" s="45" t="e">
        <f>(#REF!)</f>
        <v>#REF!</v>
      </c>
      <c r="N8" s="51">
        <f>(StatementIII!O17)</f>
        <v>-2.9103830456733704E-11</v>
      </c>
      <c r="O8" s="47">
        <f>(StatementIII!P17)</f>
        <v>5.8207660913467407E-11</v>
      </c>
    </row>
    <row r="9" spans="1:15" ht="10.5" customHeight="1" x14ac:dyDescent="0.15">
      <c r="B9" s="2" t="s">
        <v>39</v>
      </c>
      <c r="C9" s="10" t="s">
        <v>48</v>
      </c>
      <c r="D9" s="45" t="e">
        <f>(#REF!)</f>
        <v>#REF!</v>
      </c>
      <c r="E9" s="45" t="e">
        <f>(#REF!)</f>
        <v>#REF!</v>
      </c>
      <c r="F9" s="45" t="e">
        <f>(#REF!)</f>
        <v>#REF!</v>
      </c>
      <c r="G9" s="45" t="e">
        <f>(#REF!)</f>
        <v>#REF!</v>
      </c>
      <c r="H9" s="45" t="e">
        <f>(#REF!)</f>
        <v>#REF!</v>
      </c>
      <c r="I9" s="45" t="e">
        <f>(#REF!)</f>
        <v>#REF!</v>
      </c>
      <c r="J9" s="45" t="e">
        <f>(#REF!)</f>
        <v>#REF!</v>
      </c>
      <c r="K9" s="45" t="e">
        <f>(#REF!)</f>
        <v>#REF!</v>
      </c>
      <c r="L9" s="45" t="e">
        <f>(#REF!)</f>
        <v>#REF!</v>
      </c>
      <c r="N9" s="51" t="e">
        <f>(#REF!)</f>
        <v>#REF!</v>
      </c>
      <c r="O9" s="47" t="e">
        <f>(#REF!)</f>
        <v>#REF!</v>
      </c>
    </row>
    <row r="10" spans="1:15" ht="10.5" customHeight="1" x14ac:dyDescent="0.15">
      <c r="A10" s="36"/>
      <c r="B10" s="2" t="s">
        <v>18</v>
      </c>
      <c r="C10" s="37" t="s">
        <v>48</v>
      </c>
      <c r="D10" s="45" t="e">
        <f>(#REF!)</f>
        <v>#REF!</v>
      </c>
      <c r="E10" s="45" t="e">
        <f>(#REF!)</f>
        <v>#REF!</v>
      </c>
      <c r="F10" s="45" t="e">
        <f>(#REF!)</f>
        <v>#REF!</v>
      </c>
      <c r="G10" s="45" t="e">
        <f>(#REF!)</f>
        <v>#REF!</v>
      </c>
      <c r="H10" s="45" t="e">
        <f>(#REF!)</f>
        <v>#REF!</v>
      </c>
      <c r="I10" s="45" t="e">
        <f>(#REF!)</f>
        <v>#REF!</v>
      </c>
      <c r="J10" s="45" t="e">
        <f>(#REF!)</f>
        <v>#REF!</v>
      </c>
      <c r="K10" s="45" t="e">
        <f>(#REF!)</f>
        <v>#REF!</v>
      </c>
      <c r="L10" s="45" t="e">
        <f>(#REF!)</f>
        <v>#REF!</v>
      </c>
      <c r="N10" s="51" t="e">
        <f>(#REF!)</f>
        <v>#REF!</v>
      </c>
      <c r="O10" s="47" t="e">
        <f>(#REF!)</f>
        <v>#REF!</v>
      </c>
    </row>
    <row r="11" spans="1:15" ht="10.5" customHeight="1" x14ac:dyDescent="0.15">
      <c r="A11" s="36"/>
      <c r="B11" s="2" t="s">
        <v>119</v>
      </c>
      <c r="C11" s="36" t="s">
        <v>48</v>
      </c>
      <c r="D11" s="45" t="e">
        <f>(#REF!)</f>
        <v>#REF!</v>
      </c>
      <c r="E11" s="45" t="e">
        <f>(#REF!)</f>
        <v>#REF!</v>
      </c>
      <c r="F11" s="45" t="e">
        <f>(#REF!)</f>
        <v>#REF!</v>
      </c>
      <c r="G11" s="45" t="e">
        <f>(#REF!)</f>
        <v>#REF!</v>
      </c>
      <c r="H11" s="45" t="e">
        <f>(#REF!)</f>
        <v>#REF!</v>
      </c>
      <c r="I11" s="45" t="e">
        <f>(#REF!)</f>
        <v>#REF!</v>
      </c>
      <c r="J11" s="45" t="e">
        <f>(#REF!)</f>
        <v>#REF!</v>
      </c>
      <c r="K11" s="45" t="e">
        <f>(#REF!)</f>
        <v>#REF!</v>
      </c>
      <c r="L11" s="45" t="e">
        <f>(#REF!)</f>
        <v>#REF!</v>
      </c>
      <c r="N11" s="51" t="e">
        <f>(#REF!)</f>
        <v>#REF!</v>
      </c>
      <c r="O11" s="47" t="e">
        <f>(#REF!)</f>
        <v>#REF!</v>
      </c>
    </row>
    <row r="12" spans="1:15" ht="10.5" customHeight="1" x14ac:dyDescent="0.15">
      <c r="A12" s="38"/>
      <c r="B12" s="3" t="s">
        <v>64</v>
      </c>
      <c r="C12" s="38" t="s">
        <v>48</v>
      </c>
      <c r="D12" s="48" t="e">
        <f>(#REF!)</f>
        <v>#REF!</v>
      </c>
      <c r="E12" s="48" t="e">
        <f>(#REF!)</f>
        <v>#REF!</v>
      </c>
      <c r="F12" s="48" t="e">
        <f>(#REF!)</f>
        <v>#REF!</v>
      </c>
      <c r="G12" s="48" t="e">
        <f>(#REF!)</f>
        <v>#REF!</v>
      </c>
      <c r="H12" s="48" t="e">
        <f>(#REF!)</f>
        <v>#REF!</v>
      </c>
      <c r="I12" s="48" t="e">
        <f>(#REF!)</f>
        <v>#REF!</v>
      </c>
      <c r="J12" s="48" t="e">
        <f>(#REF!)</f>
        <v>#REF!</v>
      </c>
      <c r="K12" s="48" t="e">
        <f>(#REF!)</f>
        <v>#REF!</v>
      </c>
      <c r="L12" s="48" t="e">
        <f>(#REF!)</f>
        <v>#REF!</v>
      </c>
      <c r="N12" s="54"/>
      <c r="O12" s="55"/>
    </row>
    <row r="13" spans="1:15" ht="10.5" customHeight="1" x14ac:dyDescent="0.15">
      <c r="A13" s="31" t="s">
        <v>74</v>
      </c>
      <c r="C13" s="10" t="s">
        <v>48</v>
      </c>
      <c r="D13" s="45"/>
      <c r="E13" s="45"/>
      <c r="F13" s="45"/>
      <c r="G13" s="45"/>
      <c r="H13" s="45"/>
      <c r="I13" s="45"/>
      <c r="J13" s="45"/>
      <c r="K13" s="45"/>
      <c r="L13" s="45"/>
      <c r="N13" s="51"/>
      <c r="O13" s="47"/>
    </row>
    <row r="14" spans="1:15" ht="12.2" customHeight="1" x14ac:dyDescent="0.15">
      <c r="B14" s="10" t="s">
        <v>104</v>
      </c>
      <c r="C14" s="10" t="s">
        <v>48</v>
      </c>
      <c r="D14" s="45">
        <f>(StatementIII!D41)</f>
        <v>0</v>
      </c>
      <c r="E14" s="45">
        <f>(StatementIII!E41)</f>
        <v>0</v>
      </c>
      <c r="F14" s="45" t="e">
        <f>(#REF!)</f>
        <v>#REF!</v>
      </c>
      <c r="G14" s="45">
        <f>(StatementIII!F41)</f>
        <v>0</v>
      </c>
      <c r="H14" s="45">
        <f>(StatementIII!G41)</f>
        <v>0</v>
      </c>
      <c r="I14" s="45">
        <f>(StatementIII!H41)</f>
        <v>0</v>
      </c>
      <c r="J14" s="45">
        <f>(StatementIII!J41)</f>
        <v>0</v>
      </c>
      <c r="K14" s="45">
        <f>(StatementIII!K41)</f>
        <v>0</v>
      </c>
      <c r="L14" s="45">
        <f>(StatementIII!L41)</f>
        <v>0</v>
      </c>
      <c r="N14" s="51">
        <f>(StatementIII!O8)</f>
        <v>-2.9103830456733704E-11</v>
      </c>
      <c r="O14" s="47">
        <f>(StatementIII!P8)</f>
        <v>5.8207660913467407E-11</v>
      </c>
    </row>
    <row r="15" spans="1:15" ht="12" customHeight="1" x14ac:dyDescent="0.15">
      <c r="B15" s="10" t="s">
        <v>44</v>
      </c>
      <c r="C15" s="10" t="s">
        <v>48</v>
      </c>
      <c r="D15" s="45">
        <f>(StatementIII!D42)</f>
        <v>0</v>
      </c>
      <c r="E15" s="45">
        <f>(StatementIII!E42)</f>
        <v>0</v>
      </c>
      <c r="F15" s="45" t="e">
        <f>(#REF!)</f>
        <v>#REF!</v>
      </c>
      <c r="G15" s="45">
        <f>(StatementIII!F42)</f>
        <v>0</v>
      </c>
      <c r="H15" s="45">
        <f>(StatementIII!G42)</f>
        <v>0</v>
      </c>
      <c r="I15" s="45">
        <f>(StatementIII!H42)</f>
        <v>0</v>
      </c>
      <c r="J15" s="45">
        <f>(StatementIII!J42)</f>
        <v>0</v>
      </c>
      <c r="K15" s="45">
        <f>(StatementIII!K42)</f>
        <v>0</v>
      </c>
      <c r="L15" s="45">
        <f>(StatementIII!L42)</f>
        <v>0</v>
      </c>
      <c r="N15" s="51">
        <f>(StatementIII!O11)</f>
        <v>-1.4551915228366852E-11</v>
      </c>
      <c r="O15" s="47">
        <f>(StatementIII!P11)</f>
        <v>0</v>
      </c>
    </row>
    <row r="16" spans="1:15" ht="12" customHeight="1" x14ac:dyDescent="0.15">
      <c r="B16" s="10" t="s">
        <v>107</v>
      </c>
      <c r="C16" s="10" t="s">
        <v>48</v>
      </c>
      <c r="D16" s="45">
        <f>(StatementIII!D43)</f>
        <v>0</v>
      </c>
      <c r="E16" s="45">
        <f>(StatementIII!E43)</f>
        <v>0</v>
      </c>
      <c r="F16" s="45" t="e">
        <f>(#REF!)</f>
        <v>#REF!</v>
      </c>
      <c r="G16" s="45">
        <f>(StatementIII!F43)</f>
        <v>0</v>
      </c>
      <c r="H16" s="45">
        <f>(StatementIII!G43)</f>
        <v>0</v>
      </c>
      <c r="I16" s="45">
        <f>(StatementIII!H43)</f>
        <v>0</v>
      </c>
      <c r="J16" s="45">
        <f>(StatementIII!J43)</f>
        <v>0</v>
      </c>
      <c r="K16" s="45">
        <f>(StatementIII!K43)</f>
        <v>0</v>
      </c>
      <c r="L16" s="45">
        <f>(StatementIII!L43)</f>
        <v>0</v>
      </c>
      <c r="N16" s="51">
        <f>(StatementIII!O19)</f>
        <v>0</v>
      </c>
      <c r="O16" s="47">
        <f>(StatementIII!P19)</f>
        <v>0</v>
      </c>
    </row>
    <row r="17" spans="1:15" ht="10.5" customHeight="1" x14ac:dyDescent="0.15">
      <c r="B17" s="10" t="s">
        <v>108</v>
      </c>
      <c r="C17" s="10" t="s">
        <v>48</v>
      </c>
      <c r="D17" s="45">
        <f>(StatementIII!D44)</f>
        <v>0</v>
      </c>
      <c r="E17" s="45">
        <f>(StatementIII!E44)</f>
        <v>0</v>
      </c>
      <c r="F17" s="45" t="e">
        <f>(#REF!)</f>
        <v>#REF!</v>
      </c>
      <c r="G17" s="45">
        <f>(StatementIII!F44)</f>
        <v>0</v>
      </c>
      <c r="H17" s="45">
        <f>(StatementIII!G44)</f>
        <v>0</v>
      </c>
      <c r="I17" s="45">
        <f>(StatementIII!H44)</f>
        <v>0</v>
      </c>
      <c r="J17" s="45">
        <f>(StatementIII!J44)</f>
        <v>0</v>
      </c>
      <c r="K17" s="45">
        <f>(StatementIII!K44)</f>
        <v>0</v>
      </c>
      <c r="L17" s="45">
        <f>(StatementIII!L44)</f>
        <v>0</v>
      </c>
      <c r="N17" s="51">
        <f>(StatementIII!O22)</f>
        <v>0</v>
      </c>
      <c r="O17" s="47">
        <f>(StatementIII!P22)</f>
        <v>0</v>
      </c>
    </row>
    <row r="18" spans="1:15" ht="10.5" customHeight="1" x14ac:dyDescent="0.15">
      <c r="B18" s="10" t="s">
        <v>109</v>
      </c>
      <c r="C18" s="10" t="s">
        <v>48</v>
      </c>
      <c r="D18" s="45">
        <f>(StatementIII!D45)</f>
        <v>-38695.198000000004</v>
      </c>
      <c r="E18" s="45">
        <f>(StatementIII!E45)</f>
        <v>2.4119999999999999</v>
      </c>
      <c r="F18" s="45" t="e">
        <f>(#REF!)</f>
        <v>#REF!</v>
      </c>
      <c r="G18" s="45">
        <f>(StatementIII!F45)</f>
        <v>9.8800000000000008</v>
      </c>
      <c r="H18" s="45">
        <f>(StatementIII!G45)</f>
        <v>-38682.906000000003</v>
      </c>
      <c r="I18" s="45">
        <f>(StatementIII!H45)</f>
        <v>-1.2575940000000001</v>
      </c>
      <c r="J18" s="45">
        <f>(StatementIII!J45)</f>
        <v>134.47063</v>
      </c>
      <c r="K18" s="45">
        <f>(StatementIII!K45)</f>
        <v>0</v>
      </c>
      <c r="L18" s="45">
        <f>(StatementIII!L45)</f>
        <v>-38334.703389000002</v>
      </c>
      <c r="N18" s="51" t="e">
        <f>(#REF!)</f>
        <v>#REF!</v>
      </c>
      <c r="O18" s="47" t="e">
        <f>(#REF!)</f>
        <v>#REF!</v>
      </c>
    </row>
    <row r="19" spans="1:15" ht="10.5" customHeight="1" x14ac:dyDescent="0.15">
      <c r="A19" s="36"/>
      <c r="B19" s="10" t="s">
        <v>95</v>
      </c>
      <c r="C19" s="36" t="s">
        <v>48</v>
      </c>
      <c r="D19" s="45" t="e">
        <f>(#REF!)</f>
        <v>#REF!</v>
      </c>
      <c r="E19" s="45" t="e">
        <f>(#REF!)</f>
        <v>#REF!</v>
      </c>
      <c r="F19" s="45" t="e">
        <f>(#REF!)</f>
        <v>#REF!</v>
      </c>
      <c r="G19" s="45" t="e">
        <f>(#REF!)</f>
        <v>#REF!</v>
      </c>
      <c r="H19" s="45" t="e">
        <f>(#REF!)</f>
        <v>#REF!</v>
      </c>
      <c r="I19" s="45" t="e">
        <f>(#REF!)</f>
        <v>#REF!</v>
      </c>
      <c r="J19" s="45" t="e">
        <f>(#REF!)</f>
        <v>#REF!</v>
      </c>
      <c r="K19" s="45" t="e">
        <f>(#REF!)</f>
        <v>#REF!</v>
      </c>
      <c r="L19" s="45" t="e">
        <f>(#REF!)</f>
        <v>#REF!</v>
      </c>
      <c r="N19" s="51" t="e">
        <f>(#REF!)</f>
        <v>#REF!</v>
      </c>
      <c r="O19" s="47" t="e">
        <f>(#REF!)</f>
        <v>#REF!</v>
      </c>
    </row>
    <row r="20" spans="1:15" ht="10.5" customHeight="1" x14ac:dyDescent="0.15">
      <c r="A20" s="36"/>
      <c r="B20" s="36" t="s">
        <v>42</v>
      </c>
      <c r="C20" s="36" t="s">
        <v>48</v>
      </c>
      <c r="D20" s="45" t="e">
        <f>(#REF!)</f>
        <v>#REF!</v>
      </c>
      <c r="E20" s="45" t="e">
        <f>(#REF!)</f>
        <v>#REF!</v>
      </c>
      <c r="F20" s="45" t="e">
        <f>(#REF!)</f>
        <v>#REF!</v>
      </c>
      <c r="G20" s="45" t="e">
        <f>(#REF!)</f>
        <v>#REF!</v>
      </c>
      <c r="H20" s="45" t="e">
        <f>(#REF!)</f>
        <v>#REF!</v>
      </c>
      <c r="I20" s="45" t="e">
        <f>(#REF!)</f>
        <v>#REF!</v>
      </c>
      <c r="J20" s="45" t="e">
        <f>(#REF!)</f>
        <v>#REF!</v>
      </c>
      <c r="K20" s="45" t="e">
        <f>(#REF!)</f>
        <v>#REF!</v>
      </c>
      <c r="L20" s="45" t="e">
        <f>(#REF!)</f>
        <v>#REF!</v>
      </c>
      <c r="N20" s="51">
        <f>(StatementIII!O26)</f>
        <v>0</v>
      </c>
      <c r="O20" s="47">
        <f>(StatementIII!P26)</f>
        <v>0</v>
      </c>
    </row>
    <row r="21" spans="1:15" ht="12" customHeight="1" x14ac:dyDescent="0.15">
      <c r="A21" s="36"/>
      <c r="B21" s="10" t="s">
        <v>92</v>
      </c>
      <c r="C21" s="36" t="s">
        <v>48</v>
      </c>
      <c r="D21" s="45">
        <f>(Table6!E119)</f>
        <v>0</v>
      </c>
      <c r="E21" s="45">
        <f>(Table6!F119)</f>
        <v>4.5474735088646412E-13</v>
      </c>
      <c r="F21" s="45" t="e">
        <f>(#REF!)</f>
        <v>#REF!</v>
      </c>
      <c r="G21" s="45">
        <f>(Table6!G119)</f>
        <v>0</v>
      </c>
      <c r="H21" s="45">
        <f>(Table6!H119)</f>
        <v>0</v>
      </c>
      <c r="I21" s="45">
        <f>(Table6!I119)</f>
        <v>0</v>
      </c>
      <c r="J21" s="45">
        <f>(Table6!K119)</f>
        <v>1.4551915228366852E-11</v>
      </c>
      <c r="K21" s="45">
        <f>(Table6!L119)</f>
        <v>0</v>
      </c>
      <c r="L21" s="45">
        <f>(Table6!M119)</f>
        <v>1.1641532182693481E-10</v>
      </c>
      <c r="N21" s="51">
        <f>(Table6!P8)</f>
        <v>-2.9103830456733704E-11</v>
      </c>
      <c r="O21" s="47">
        <f>(Table6!Q8)</f>
        <v>-8.7311491370201111E-11</v>
      </c>
    </row>
    <row r="22" spans="1:15" ht="10.5" customHeight="1" x14ac:dyDescent="0.15">
      <c r="A22" s="36"/>
      <c r="B22" s="10" t="s">
        <v>43</v>
      </c>
      <c r="C22" s="36" t="s">
        <v>48</v>
      </c>
      <c r="D22" s="45">
        <f>(Table6!E125)</f>
        <v>-3.637978807091713E-12</v>
      </c>
      <c r="E22" s="45">
        <f>(Table6!F125)</f>
        <v>1.1368683772161603E-13</v>
      </c>
      <c r="F22" s="45" t="e">
        <f>(#REF!)</f>
        <v>#REF!</v>
      </c>
      <c r="G22" s="45">
        <f>(Table6!G125)</f>
        <v>0</v>
      </c>
      <c r="H22" s="45">
        <f>(Table6!H125)</f>
        <v>-9.0949470177292824E-13</v>
      </c>
      <c r="I22" s="45">
        <f>(Table6!I125)</f>
        <v>-1.9895196601282805E-13</v>
      </c>
      <c r="J22" s="45">
        <f>(Table6!K125)</f>
        <v>-1.4551915228366852E-11</v>
      </c>
      <c r="K22" s="45">
        <f>(Table6!L125)</f>
        <v>0</v>
      </c>
      <c r="L22" s="45">
        <f>(Table6!M125)</f>
        <v>1.8189894035458565E-11</v>
      </c>
      <c r="N22" s="51">
        <f>(Table6!P9)</f>
        <v>-1.4551915228366852E-11</v>
      </c>
      <c r="O22" s="47">
        <f>(Table6!Q9)</f>
        <v>0</v>
      </c>
    </row>
    <row r="23" spans="1:15" ht="10.5" customHeight="1" x14ac:dyDescent="0.15">
      <c r="A23" s="36"/>
      <c r="B23" s="10" t="s">
        <v>93</v>
      </c>
      <c r="C23" s="36" t="s">
        <v>48</v>
      </c>
      <c r="D23" s="45">
        <f>(Table6!E120)</f>
        <v>-1.2732925824820995E-11</v>
      </c>
      <c r="E23" s="45">
        <f>(Table6!F120)</f>
        <v>-1.4210854715202004E-13</v>
      </c>
      <c r="F23" s="45" t="e">
        <f>(#REF!)</f>
        <v>#REF!</v>
      </c>
      <c r="G23" s="45">
        <f>(Table6!G120)</f>
        <v>0</v>
      </c>
      <c r="H23" s="45">
        <f>(Table6!H120)</f>
        <v>2.3646862246096134E-11</v>
      </c>
      <c r="I23" s="45">
        <f>(Table6!I120)</f>
        <v>0</v>
      </c>
      <c r="J23" s="45">
        <f>(Table6!K120)</f>
        <v>1.8356427489152338E-12</v>
      </c>
      <c r="K23" s="45">
        <f>(Table6!L120)</f>
        <v>0</v>
      </c>
      <c r="L23" s="45">
        <f>(Table6!M120)</f>
        <v>3.637978807091713E-12</v>
      </c>
      <c r="N23" s="51">
        <f>(Table6!P22)</f>
        <v>-2.9103830456733704E-11</v>
      </c>
      <c r="O23" s="47">
        <f>(Table6!Q22)</f>
        <v>5.8207660913467407E-11</v>
      </c>
    </row>
    <row r="24" spans="1:15" ht="10.5" customHeight="1" x14ac:dyDescent="0.15">
      <c r="A24" s="38"/>
      <c r="B24" s="38" t="s">
        <v>49</v>
      </c>
      <c r="C24" s="38" t="s">
        <v>48</v>
      </c>
      <c r="D24" s="48">
        <f>(Table6!E122)</f>
        <v>0</v>
      </c>
      <c r="E24" s="48">
        <f>(Table6!F122)</f>
        <v>-8.486961133868931E-14</v>
      </c>
      <c r="F24" s="48" t="e">
        <f>(#REF!)</f>
        <v>#REF!</v>
      </c>
      <c r="G24" s="48">
        <f>(Table6!G122)</f>
        <v>0</v>
      </c>
      <c r="H24" s="48">
        <f>(Table6!H122)</f>
        <v>5.8207660913467407E-11</v>
      </c>
      <c r="I24" s="48">
        <f>(Table6!I122)</f>
        <v>1.7434942378713458E-12</v>
      </c>
      <c r="J24" s="48">
        <f>(Table6!K122)</f>
        <v>-9.0949470177292824E-13</v>
      </c>
      <c r="K24" s="48">
        <f>(Table6!L122)</f>
        <v>0</v>
      </c>
      <c r="L24" s="48">
        <f>(Table6!M122)</f>
        <v>0</v>
      </c>
      <c r="N24" s="56">
        <f>(Table6!P64)</f>
        <v>0</v>
      </c>
      <c r="O24" s="57">
        <f>(Table6!Q64)</f>
        <v>0</v>
      </c>
    </row>
    <row r="25" spans="1:15" ht="12.95" customHeight="1" x14ac:dyDescent="0.2">
      <c r="A25" s="31" t="s">
        <v>115</v>
      </c>
      <c r="C25" s="10" t="s">
        <v>48</v>
      </c>
      <c r="D25" s="45"/>
      <c r="E25" s="45"/>
      <c r="F25" s="45"/>
      <c r="G25" s="45"/>
      <c r="H25" s="45"/>
      <c r="I25" s="45"/>
      <c r="J25" s="45"/>
      <c r="K25" s="45"/>
      <c r="L25" s="45"/>
      <c r="N25" s="51"/>
      <c r="O25" s="47"/>
    </row>
    <row r="26" spans="1:15" ht="12.2" customHeight="1" x14ac:dyDescent="0.15">
      <c r="B26" s="10" t="s">
        <v>65</v>
      </c>
      <c r="C26" s="10" t="s">
        <v>48</v>
      </c>
      <c r="D26" s="45" t="e">
        <f>(#REF!)</f>
        <v>#REF!</v>
      </c>
      <c r="E26" s="45" t="e">
        <f>(#REF!)</f>
        <v>#REF!</v>
      </c>
      <c r="F26" s="45" t="e">
        <f>(#REF!)</f>
        <v>#REF!</v>
      </c>
      <c r="G26" s="45" t="e">
        <f>(#REF!)</f>
        <v>#REF!</v>
      </c>
      <c r="H26" s="45" t="e">
        <f>(#REF!)</f>
        <v>#REF!</v>
      </c>
      <c r="I26" s="45" t="e">
        <f>(#REF!)</f>
        <v>#REF!</v>
      </c>
      <c r="J26" s="45" t="e">
        <f>(#REF!)</f>
        <v>#REF!</v>
      </c>
      <c r="K26" s="45" t="e">
        <f>(#REF!)</f>
        <v>#REF!</v>
      </c>
      <c r="L26" s="45" t="e">
        <f>(#REF!)</f>
        <v>#REF!</v>
      </c>
      <c r="N26" s="52"/>
      <c r="O26" s="53"/>
    </row>
    <row r="27" spans="1:15" ht="10.5" customHeight="1" x14ac:dyDescent="0.15">
      <c r="B27" s="10" t="s">
        <v>118</v>
      </c>
      <c r="C27" s="10" t="s">
        <v>48</v>
      </c>
      <c r="D27" s="45" t="e">
        <f>(#REF!)</f>
        <v>#REF!</v>
      </c>
      <c r="E27" s="45" t="e">
        <f>(#REF!)</f>
        <v>#REF!</v>
      </c>
      <c r="F27" s="45" t="e">
        <f>(#REF!)</f>
        <v>#REF!</v>
      </c>
      <c r="G27" s="45" t="e">
        <f>(#REF!)</f>
        <v>#REF!</v>
      </c>
      <c r="H27" s="45" t="e">
        <f>(#REF!)</f>
        <v>#REF!</v>
      </c>
      <c r="I27" s="45" t="e">
        <f>(#REF!)</f>
        <v>#REF!</v>
      </c>
      <c r="J27" s="45" t="e">
        <f>(#REF!)</f>
        <v>#REF!</v>
      </c>
      <c r="K27" s="45" t="e">
        <f>(#REF!)</f>
        <v>#REF!</v>
      </c>
      <c r="L27" s="45" t="e">
        <f>(#REF!)</f>
        <v>#REF!</v>
      </c>
      <c r="N27" s="52"/>
      <c r="O27" s="53"/>
    </row>
    <row r="28" spans="1:15" ht="10.5" customHeight="1" x14ac:dyDescent="0.15">
      <c r="B28" s="10" t="s">
        <v>54</v>
      </c>
      <c r="C28" s="10" t="s">
        <v>48</v>
      </c>
      <c r="D28" s="45" t="e">
        <f>(#REF!)</f>
        <v>#REF!</v>
      </c>
      <c r="E28" s="45" t="e">
        <f>(#REF!)</f>
        <v>#REF!</v>
      </c>
      <c r="F28" s="45" t="e">
        <f>(#REF!)</f>
        <v>#REF!</v>
      </c>
      <c r="G28" s="45" t="e">
        <f>(#REF!)</f>
        <v>#REF!</v>
      </c>
      <c r="H28" s="45" t="e">
        <f>(#REF!)</f>
        <v>#REF!</v>
      </c>
      <c r="I28" s="45" t="e">
        <f>(#REF!)</f>
        <v>#REF!</v>
      </c>
      <c r="J28" s="45" t="e">
        <f>(#REF!)</f>
        <v>#REF!</v>
      </c>
      <c r="K28" s="45" t="e">
        <f>(#REF!)</f>
        <v>#REF!</v>
      </c>
      <c r="L28" s="45" t="e">
        <f>(#REF!)</f>
        <v>#REF!</v>
      </c>
      <c r="N28" s="52"/>
      <c r="O28" s="53"/>
    </row>
    <row r="29" spans="1:15" ht="10.5" customHeight="1" x14ac:dyDescent="0.15">
      <c r="B29" s="10" t="s">
        <v>140</v>
      </c>
      <c r="C29" s="10" t="s">
        <v>48</v>
      </c>
      <c r="D29" s="45" t="e">
        <f>#REF!</f>
        <v>#REF!</v>
      </c>
      <c r="E29" s="45" t="e">
        <f>#REF!</f>
        <v>#REF!</v>
      </c>
      <c r="F29" s="45" t="e">
        <f>#REF!</f>
        <v>#REF!</v>
      </c>
      <c r="G29" s="45" t="e">
        <f>#REF!</f>
        <v>#REF!</v>
      </c>
      <c r="H29" s="45" t="e">
        <f>#REF!</f>
        <v>#REF!</v>
      </c>
      <c r="I29" s="45" t="e">
        <f>#REF!</f>
        <v>#REF!</v>
      </c>
      <c r="J29" s="45" t="e">
        <f>#REF!</f>
        <v>#REF!</v>
      </c>
      <c r="K29" s="45" t="e">
        <f>#REF!</f>
        <v>#REF!</v>
      </c>
      <c r="L29" s="45" t="e">
        <f>#REF!</f>
        <v>#REF!</v>
      </c>
      <c r="N29" s="52"/>
      <c r="O29" s="53"/>
    </row>
    <row r="30" spans="1:15" ht="10.5" customHeight="1" x14ac:dyDescent="0.15">
      <c r="B30" s="10" t="s">
        <v>102</v>
      </c>
      <c r="C30" s="10" t="s">
        <v>48</v>
      </c>
      <c r="D30" s="45" t="e">
        <f>(#REF!)</f>
        <v>#REF!</v>
      </c>
      <c r="E30" s="45" t="e">
        <f>(#REF!)</f>
        <v>#REF!</v>
      </c>
      <c r="F30" s="45" t="e">
        <f>(#REF!)</f>
        <v>#REF!</v>
      </c>
      <c r="G30" s="45" t="e">
        <f>(#REF!)</f>
        <v>#REF!</v>
      </c>
      <c r="H30" s="45" t="e">
        <f>(#REF!)</f>
        <v>#REF!</v>
      </c>
      <c r="I30" s="45" t="e">
        <f>(#REF!)</f>
        <v>#REF!</v>
      </c>
      <c r="J30" s="45" t="e">
        <f>(#REF!)</f>
        <v>#REF!</v>
      </c>
      <c r="K30" s="45" t="e">
        <f>(#REF!)</f>
        <v>#REF!</v>
      </c>
      <c r="L30" s="45" t="e">
        <f>(#REF!)</f>
        <v>#REF!</v>
      </c>
      <c r="N30" s="52"/>
      <c r="O30" s="53"/>
    </row>
    <row r="31" spans="1:15" ht="10.5" customHeight="1" x14ac:dyDescent="0.15">
      <c r="B31" s="63" t="s">
        <v>110</v>
      </c>
      <c r="C31" s="36" t="s">
        <v>48</v>
      </c>
      <c r="D31" s="45" t="e">
        <f>#REF!</f>
        <v>#REF!</v>
      </c>
      <c r="E31" s="45" t="e">
        <f>#REF!</f>
        <v>#REF!</v>
      </c>
      <c r="F31" s="45" t="e">
        <f>#REF!</f>
        <v>#REF!</v>
      </c>
      <c r="G31" s="45" t="e">
        <f>#REF!</f>
        <v>#REF!</v>
      </c>
      <c r="H31" s="45" t="e">
        <f>#REF!</f>
        <v>#REF!</v>
      </c>
      <c r="I31" s="45" t="e">
        <f>#REF!</f>
        <v>#REF!</v>
      </c>
      <c r="J31" s="45" t="e">
        <f>#REF!</f>
        <v>#REF!</v>
      </c>
      <c r="K31" s="45" t="e">
        <f>#REF!</f>
        <v>#REF!</v>
      </c>
      <c r="L31" s="45" t="e">
        <f>#REF!</f>
        <v>#REF!</v>
      </c>
      <c r="N31" s="52"/>
      <c r="O31" s="53"/>
    </row>
    <row r="32" spans="1:15" ht="10.5" customHeight="1" x14ac:dyDescent="0.15">
      <c r="A32" s="38"/>
      <c r="B32" s="38" t="s">
        <v>103</v>
      </c>
      <c r="C32" s="38" t="s">
        <v>48</v>
      </c>
      <c r="D32" s="48" t="e">
        <f>(#REF!)</f>
        <v>#REF!</v>
      </c>
      <c r="E32" s="48" t="e">
        <f>(#REF!)</f>
        <v>#REF!</v>
      </c>
      <c r="F32" s="48" t="e">
        <f>(#REF!)</f>
        <v>#REF!</v>
      </c>
      <c r="G32" s="48" t="e">
        <f>(#REF!)</f>
        <v>#REF!</v>
      </c>
      <c r="H32" s="48" t="e">
        <f>(#REF!)</f>
        <v>#REF!</v>
      </c>
      <c r="I32" s="48" t="e">
        <f>(#REF!)</f>
        <v>#REF!</v>
      </c>
      <c r="J32" s="48" t="e">
        <f>(#REF!)</f>
        <v>#REF!</v>
      </c>
      <c r="K32" s="48" t="e">
        <f>(#REF!)</f>
        <v>#REF!</v>
      </c>
      <c r="L32" s="48" t="e">
        <f>(#REF!)</f>
        <v>#REF!</v>
      </c>
      <c r="N32" s="54"/>
      <c r="O32" s="55"/>
    </row>
    <row r="33" spans="1:15" ht="12" customHeight="1" x14ac:dyDescent="0.15">
      <c r="A33" s="31" t="s">
        <v>133</v>
      </c>
      <c r="B33" s="36"/>
      <c r="C33" s="36"/>
      <c r="D33" s="45"/>
      <c r="E33" s="45"/>
      <c r="F33" s="45"/>
      <c r="G33" s="45"/>
      <c r="H33" s="45"/>
      <c r="I33" s="45"/>
      <c r="J33" s="45"/>
      <c r="K33" s="45"/>
      <c r="L33" s="45"/>
      <c r="N33" s="51"/>
      <c r="O33" s="47"/>
    </row>
    <row r="34" spans="1:15" ht="12" customHeight="1" x14ac:dyDescent="0.15">
      <c r="A34" s="31"/>
      <c r="B34" s="36" t="s">
        <v>50</v>
      </c>
      <c r="C34" s="36" t="s">
        <v>48</v>
      </c>
      <c r="D34" s="45">
        <f>(Table7!E111)</f>
        <v>223928.79378599999</v>
      </c>
      <c r="E34" s="45">
        <f>(Table7!F111)</f>
        <v>4154.8208509999995</v>
      </c>
      <c r="F34" s="45" t="e">
        <f>(#REF!)</f>
        <v>#REF!</v>
      </c>
      <c r="G34" s="45">
        <f>(Table7!G111)</f>
        <v>-3382.9422169999889</v>
      </c>
      <c r="H34" s="45">
        <f>(Table7!H111)</f>
        <v>224700.67241999999</v>
      </c>
      <c r="I34" s="45">
        <f>(Table7!I111)</f>
        <v>3270.6657459999997</v>
      </c>
      <c r="J34" s="45">
        <f>(Table7!K111)</f>
        <v>68488.508537000002</v>
      </c>
      <c r="K34" s="45">
        <f>(Table7!L111)</f>
        <v>-59207.460456000001</v>
      </c>
      <c r="L34" s="45">
        <f>(Table7!M111)</f>
        <v>265953.97044226015</v>
      </c>
      <c r="N34" s="51">
        <f>(Table7!P8)</f>
        <v>0</v>
      </c>
      <c r="O34" s="47">
        <f>(Table7!Q8)</f>
        <v>0</v>
      </c>
    </row>
    <row r="35" spans="1:15" ht="10.5" customHeight="1" x14ac:dyDescent="0.15">
      <c r="A35" s="36"/>
      <c r="B35" s="36" t="s">
        <v>94</v>
      </c>
      <c r="C35" s="36" t="s">
        <v>48</v>
      </c>
      <c r="D35" s="45" t="e">
        <f>(#REF!)</f>
        <v>#REF!</v>
      </c>
      <c r="E35" s="45" t="e">
        <f>(#REF!)</f>
        <v>#REF!</v>
      </c>
      <c r="F35" s="45" t="e">
        <f>(#REF!)</f>
        <v>#REF!</v>
      </c>
      <c r="G35" s="45" t="e">
        <f>(#REF!)</f>
        <v>#REF!</v>
      </c>
      <c r="H35" s="45" t="e">
        <f>(#REF!)</f>
        <v>#REF!</v>
      </c>
      <c r="I35" s="45" t="e">
        <f>(#REF!)</f>
        <v>#REF!</v>
      </c>
      <c r="J35" s="45" t="e">
        <f>(#REF!)</f>
        <v>#REF!</v>
      </c>
      <c r="K35" s="45" t="e">
        <f>(#REF!)</f>
        <v>#REF!</v>
      </c>
      <c r="L35" s="45" t="e">
        <f>(#REF!)</f>
        <v>#REF!</v>
      </c>
      <c r="N35" s="51">
        <f>(Table8A!P8)</f>
        <v>-7.2759576141834259E-12</v>
      </c>
      <c r="O35" s="47">
        <f>(Table8A!Q8)</f>
        <v>0</v>
      </c>
    </row>
    <row r="36" spans="1:15" ht="10.5" customHeight="1" x14ac:dyDescent="0.15">
      <c r="A36" s="36"/>
      <c r="B36" s="36" t="s">
        <v>126</v>
      </c>
      <c r="C36" s="36" t="s">
        <v>48</v>
      </c>
      <c r="D36" s="45" t="e">
        <f>(#REF!)</f>
        <v>#REF!</v>
      </c>
      <c r="E36" s="45" t="e">
        <f>(#REF!)</f>
        <v>#REF!</v>
      </c>
      <c r="F36" s="45" t="e">
        <f>(#REF!)</f>
        <v>#REF!</v>
      </c>
      <c r="G36" s="45" t="e">
        <f>(#REF!)</f>
        <v>#REF!</v>
      </c>
      <c r="H36" s="45" t="e">
        <f>(#REF!)</f>
        <v>#REF!</v>
      </c>
      <c r="I36" s="45" t="e">
        <f>(#REF!)</f>
        <v>#REF!</v>
      </c>
      <c r="J36" s="45" t="e">
        <f>(#REF!)</f>
        <v>#REF!</v>
      </c>
      <c r="K36" s="45" t="e">
        <f>(#REF!)</f>
        <v>#REF!</v>
      </c>
      <c r="L36" s="45" t="e">
        <f>(#REF!)</f>
        <v>#REF!</v>
      </c>
      <c r="N36" s="46">
        <f>(Table8A!P9)</f>
        <v>-7.2759576141834259E-12</v>
      </c>
      <c r="O36" s="47">
        <f>(Table8A!Q9)</f>
        <v>7.2759576141834259E-12</v>
      </c>
    </row>
    <row r="37" spans="1:15" ht="10.5" customHeight="1" x14ac:dyDescent="0.15">
      <c r="A37" s="36"/>
      <c r="B37" s="36" t="s">
        <v>127</v>
      </c>
      <c r="C37" s="36" t="s">
        <v>48</v>
      </c>
      <c r="D37" s="45" t="e">
        <f>(#REF!)</f>
        <v>#REF!</v>
      </c>
      <c r="E37" s="45" t="e">
        <f>(#REF!)</f>
        <v>#REF!</v>
      </c>
      <c r="F37" s="45" t="e">
        <f>(#REF!)</f>
        <v>#REF!</v>
      </c>
      <c r="G37" s="45" t="e">
        <f>(#REF!)</f>
        <v>#REF!</v>
      </c>
      <c r="H37" s="45" t="e">
        <f>(#REF!)</f>
        <v>#REF!</v>
      </c>
      <c r="I37" s="45" t="e">
        <f>(#REF!)</f>
        <v>#REF!</v>
      </c>
      <c r="J37" s="45" t="e">
        <f>(#REF!)</f>
        <v>#REF!</v>
      </c>
      <c r="K37" s="45" t="e">
        <f>(#REF!)</f>
        <v>#REF!</v>
      </c>
      <c r="L37" s="45" t="e">
        <f>(#REF!)</f>
        <v>#REF!</v>
      </c>
      <c r="N37" s="46">
        <f>(Table8A!P22)</f>
        <v>-1.4210854715202004E-14</v>
      </c>
      <c r="O37" s="47">
        <f>(Table8A!Q22)</f>
        <v>-5.6843418860808015E-14</v>
      </c>
    </row>
    <row r="38" spans="1:15" ht="10.5" customHeight="1" x14ac:dyDescent="0.15">
      <c r="A38" s="36"/>
      <c r="B38" s="36" t="s">
        <v>128</v>
      </c>
      <c r="C38" s="36" t="s">
        <v>48</v>
      </c>
      <c r="D38" s="45" t="e">
        <f>(#REF!)</f>
        <v>#REF!</v>
      </c>
      <c r="E38" s="45" t="e">
        <f>(#REF!)</f>
        <v>#REF!</v>
      </c>
      <c r="F38" s="45" t="e">
        <f>(#REF!)</f>
        <v>#REF!</v>
      </c>
      <c r="G38" s="45" t="e">
        <f>(#REF!)</f>
        <v>#REF!</v>
      </c>
      <c r="H38" s="45" t="e">
        <f>(#REF!)</f>
        <v>#REF!</v>
      </c>
      <c r="I38" s="45" t="e">
        <f>(#REF!)</f>
        <v>#REF!</v>
      </c>
      <c r="J38" s="45" t="e">
        <f>(#REF!)</f>
        <v>#REF!</v>
      </c>
      <c r="K38" s="45" t="e">
        <f>(#REF!)</f>
        <v>#REF!</v>
      </c>
      <c r="L38" s="45" t="e">
        <f>(#REF!)</f>
        <v>#REF!</v>
      </c>
      <c r="N38" s="46" t="e">
        <f>(#REF!)</f>
        <v>#REF!</v>
      </c>
      <c r="O38" s="47" t="e">
        <f>(#REF!)</f>
        <v>#REF!</v>
      </c>
    </row>
    <row r="39" spans="1:15" ht="10.5" customHeight="1" x14ac:dyDescent="0.15">
      <c r="A39" s="36"/>
      <c r="B39" s="36" t="s">
        <v>132</v>
      </c>
      <c r="C39" s="36" t="s">
        <v>48</v>
      </c>
      <c r="D39" s="45" t="e">
        <f>(#REF!)</f>
        <v>#REF!</v>
      </c>
      <c r="E39" s="45" t="e">
        <f>(#REF!)</f>
        <v>#REF!</v>
      </c>
      <c r="F39" s="45" t="e">
        <f>(#REF!)</f>
        <v>#REF!</v>
      </c>
      <c r="G39" s="45" t="e">
        <f>(#REF!)</f>
        <v>#REF!</v>
      </c>
      <c r="H39" s="45" t="e">
        <f>(#REF!)</f>
        <v>#REF!</v>
      </c>
      <c r="I39" s="45" t="e">
        <f>(#REF!)</f>
        <v>#REF!</v>
      </c>
      <c r="J39" s="45" t="e">
        <f>(#REF!)</f>
        <v>#REF!</v>
      </c>
      <c r="K39" s="45" t="e">
        <f>(#REF!)</f>
        <v>#REF!</v>
      </c>
      <c r="L39" s="45" t="e">
        <f>(#REF!)</f>
        <v>#REF!</v>
      </c>
      <c r="M39" s="36"/>
      <c r="N39" s="51">
        <f>(Table8A!P27)</f>
        <v>0</v>
      </c>
      <c r="O39" s="47">
        <f>(Table8A!Q27)</f>
        <v>0</v>
      </c>
    </row>
    <row r="40" spans="1:15" ht="10.5" customHeight="1" x14ac:dyDescent="0.15">
      <c r="A40" s="36"/>
      <c r="B40" s="36" t="s">
        <v>129</v>
      </c>
      <c r="C40" s="36" t="s">
        <v>48</v>
      </c>
      <c r="D40" s="45" t="e">
        <f>(#REF!)</f>
        <v>#REF!</v>
      </c>
      <c r="E40" s="45" t="e">
        <f>(#REF!)</f>
        <v>#REF!</v>
      </c>
      <c r="F40" s="45" t="e">
        <f>(#REF!)</f>
        <v>#REF!</v>
      </c>
      <c r="G40" s="45" t="e">
        <f>(#REF!)</f>
        <v>#REF!</v>
      </c>
      <c r="H40" s="45" t="e">
        <f>(#REF!)</f>
        <v>#REF!</v>
      </c>
      <c r="I40" s="45" t="e">
        <f>(#REF!)</f>
        <v>#REF!</v>
      </c>
      <c r="J40" s="45" t="e">
        <f>(#REF!)</f>
        <v>#REF!</v>
      </c>
      <c r="K40" s="45" t="e">
        <f>(#REF!)</f>
        <v>#REF!</v>
      </c>
      <c r="L40" s="45" t="e">
        <f>(#REF!)</f>
        <v>#REF!</v>
      </c>
      <c r="N40" s="51">
        <f>(Table8A!P27)</f>
        <v>0</v>
      </c>
      <c r="O40" s="47">
        <f>(Table8A!Q27)</f>
        <v>0</v>
      </c>
    </row>
    <row r="41" spans="1:15" ht="10.5" customHeight="1" x14ac:dyDescent="0.15">
      <c r="A41" s="39"/>
      <c r="B41" s="39" t="s">
        <v>130</v>
      </c>
      <c r="C41" s="39" t="s">
        <v>48</v>
      </c>
      <c r="D41" s="50" t="e">
        <f>(#REF!)</f>
        <v>#REF!</v>
      </c>
      <c r="E41" s="50" t="e">
        <f>(#REF!)</f>
        <v>#REF!</v>
      </c>
      <c r="F41" s="50" t="e">
        <f>(#REF!)</f>
        <v>#REF!</v>
      </c>
      <c r="G41" s="50" t="e">
        <f>(#REF!)</f>
        <v>#REF!</v>
      </c>
      <c r="H41" s="50" t="e">
        <f>(#REF!)</f>
        <v>#REF!</v>
      </c>
      <c r="I41" s="50" t="e">
        <f>(#REF!)</f>
        <v>#REF!</v>
      </c>
      <c r="J41" s="50" t="e">
        <f>(#REF!)</f>
        <v>#REF!</v>
      </c>
      <c r="K41" s="50" t="e">
        <f>(#REF!)</f>
        <v>#REF!</v>
      </c>
      <c r="L41" s="50" t="e">
        <f>(#REF!)</f>
        <v>#REF!</v>
      </c>
      <c r="N41" s="58">
        <f>(Table8A!P40)</f>
        <v>0</v>
      </c>
      <c r="O41" s="59">
        <f>(Table8A!Q40)</f>
        <v>0</v>
      </c>
    </row>
    <row r="42" spans="1:15" ht="12" customHeight="1" x14ac:dyDescent="0.15">
      <c r="A42" s="10" t="s">
        <v>100</v>
      </c>
      <c r="D42" s="40"/>
      <c r="E42" s="40"/>
      <c r="F42" s="40"/>
      <c r="G42" s="40"/>
      <c r="H42" s="40"/>
      <c r="I42" s="40"/>
      <c r="J42" s="40"/>
      <c r="K42" s="40"/>
      <c r="L42" s="40"/>
    </row>
    <row r="43" spans="1:15" ht="10.5" customHeight="1" x14ac:dyDescent="0.15">
      <c r="A43" s="10" t="s">
        <v>117</v>
      </c>
    </row>
    <row r="44" spans="1:15" ht="10.5" customHeight="1" x14ac:dyDescent="0.15">
      <c r="A44" s="10" t="s">
        <v>116</v>
      </c>
    </row>
    <row r="45" spans="1:15" ht="10.5" customHeight="1" x14ac:dyDescent="0.15">
      <c r="A45" s="61" t="s">
        <v>141</v>
      </c>
    </row>
    <row r="47" spans="1:15" x14ac:dyDescent="0.15">
      <c r="A47" s="61"/>
    </row>
  </sheetData>
  <sheetProtection password="EECE" sheet="1" objects="1" scenarios="1" formatCells="0" formatColumns="0" formatRows="0"/>
  <customSheetViews>
    <customSheetView guid="{C3088B2E-F853-4D7E-B687-C6500891DFCB}" showPageBreaks="1" printArea="1" state="hidden">
      <pane xSplit="3" ySplit="6" topLeftCell="D7" activePane="bottomRight" state="frozen"/>
      <selection pane="bottomRight" activeCell="A2" sqref="A2"/>
      <pageMargins left="0.43307086614173229" right="0.43307086614173229" top="0.59055118110236227" bottom="0.59055118110236227" header="0.39370078740157483" footer="0.39370078740157483"/>
      <pageSetup orientation="landscape" r:id="rId1"/>
      <headerFooter alignWithMargins="0">
        <oddFooter>&amp;C&amp;8&amp;D &amp;T&amp;R&amp;8&amp;P</oddFooter>
      </headerFooter>
    </customSheetView>
    <customSheetView guid="{F866C9B2-56BF-4FE4-B270-CC8FE15A5892}" showPageBreaks="1" printArea="1" state="hidden">
      <pane xSplit="3" ySplit="6" topLeftCell="D7" activePane="bottomRight" state="frozen"/>
      <selection pane="bottomRight" activeCell="A2" sqref="A2"/>
      <pageMargins left="0.43307086614173229" right="0.43307086614173229" top="0.59055118110236227" bottom="0.59055118110236227" header="0.39370078740157483" footer="0.39370078740157483"/>
      <pageSetup orientation="landscape" r:id="rId2"/>
      <headerFooter alignWithMargins="0">
        <oddFooter>&amp;C&amp;8&amp;D &amp;T&amp;R&amp;8&amp;P</oddFooter>
      </headerFooter>
    </customSheetView>
    <customSheetView guid="{D66484CB-9D53-43A1-A83D-11534BC40BF6}" showPageBreaks="1" printArea="1" state="hidden">
      <pane xSplit="3" ySplit="6" topLeftCell="D7" activePane="bottomRight" state="frozen"/>
      <selection pane="bottomRight" activeCell="A2" sqref="A2"/>
      <pageMargins left="0.43307086614173229" right="0.43307086614173229" top="0.59055118110236227" bottom="0.59055118110236227" header="0.39370078740157483" footer="0.39370078740157483"/>
      <pageSetup orientation="landscape" r:id="rId3"/>
      <headerFooter alignWithMargins="0">
        <oddFooter>&amp;C&amp;8&amp;D &amp;T&amp;R&amp;8&amp;P</oddFooter>
      </headerFooter>
    </customSheetView>
  </customSheetViews>
  <mergeCells count="9">
    <mergeCell ref="A4:B5"/>
    <mergeCell ref="D4:H4"/>
    <mergeCell ref="I4:I5"/>
    <mergeCell ref="J4:J5"/>
    <mergeCell ref="N4:O4"/>
    <mergeCell ref="G1:K1"/>
    <mergeCell ref="G3:H3"/>
    <mergeCell ref="K4:K5"/>
    <mergeCell ref="L4:L5"/>
  </mergeCells>
  <pageMargins left="0.43307086614173201" right="0.43307086614173201" top="0.59055118110236204" bottom="0.59055118110236204" header="0.39370078740157499" footer="0.39370078740157499"/>
  <pageSetup orientation="landscape" r:id="rId4"/>
  <headerFooter alignWithMargins="0">
    <oddFooter>&amp;C&amp;8&amp;D &amp;T&amp;R&amp;8&amp;P</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2.75" x14ac:dyDescent="0.2"/>
  <sheetData>
    <row r="1" spans="1:1" x14ac:dyDescent="0.2">
      <c r="A1" s="457" t="s">
        <v>3558</v>
      </c>
    </row>
    <row r="3" spans="1:1" x14ac:dyDescent="0.2">
      <c r="A3" t="s">
        <v>3559</v>
      </c>
    </row>
  </sheetData>
  <sheetProtection password="EECE" sheet="1" objects="1" scenarios="1" formatCells="0" formatColumns="0" formatRows="0"/>
  <pageMargins left="0.7" right="0.7"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indexed="48"/>
    <pageSetUpPr fitToPage="1"/>
  </sheetPr>
  <dimension ref="A1:P148"/>
  <sheetViews>
    <sheetView zoomScale="98" zoomScaleNormal="98" workbookViewId="0">
      <pane xSplit="3" ySplit="6" topLeftCell="D41" activePane="bottomRight" state="frozen"/>
      <selection activeCell="Q53" sqref="P8:Q53"/>
      <selection pane="topRight" activeCell="Q53" sqref="P8:Q53"/>
      <selection pane="bottomLeft" activeCell="Q53" sqref="P8:Q53"/>
      <selection pane="bottomRight" activeCell="K23" sqref="K23"/>
    </sheetView>
  </sheetViews>
  <sheetFormatPr baseColWidth="10" defaultColWidth="9.140625" defaultRowHeight="12.75" x14ac:dyDescent="0.2"/>
  <cols>
    <col min="1" max="1" width="7.28515625" style="221" customWidth="1"/>
    <col min="2" max="2" width="59.42578125" style="164" customWidth="1"/>
    <col min="3" max="3" width="0.85546875" style="164" customWidth="1"/>
    <col min="4" max="13" width="10" style="164" customWidth="1"/>
    <col min="14" max="14" width="3.28515625" style="164" customWidth="1"/>
    <col min="15" max="15" width="13.85546875" style="164" customWidth="1"/>
    <col min="16" max="16" width="14.28515625" style="164" customWidth="1"/>
    <col min="17" max="17" width="9.140625" style="164" customWidth="1"/>
    <col min="18" max="16384" width="9.140625" style="164"/>
  </cols>
  <sheetData>
    <row r="1" spans="1:16" ht="14.25" x14ac:dyDescent="0.25">
      <c r="A1" s="513" t="str">
        <f>+Coverpage!A1</f>
        <v>GFSM2014_V1.5</v>
      </c>
      <c r="B1" s="514"/>
      <c r="C1" s="515"/>
      <c r="D1" s="515"/>
      <c r="E1" s="517"/>
      <c r="F1" s="771" t="str">
        <f>Reporting_Country_Name</f>
        <v>Colombia</v>
      </c>
      <c r="G1" s="771"/>
      <c r="H1" s="771"/>
      <c r="I1" s="771"/>
      <c r="J1" s="771"/>
      <c r="K1" s="771"/>
      <c r="L1" s="771"/>
      <c r="M1" s="518" t="str">
        <f>Reporting_Country_Code</f>
        <v>233</v>
      </c>
      <c r="N1" s="519"/>
      <c r="O1" s="694" t="s">
        <v>2731</v>
      </c>
      <c r="P1" s="222"/>
    </row>
    <row r="2" spans="1:16" ht="14.25" x14ac:dyDescent="0.25">
      <c r="A2" s="699" t="s">
        <v>2780</v>
      </c>
      <c r="B2" s="521"/>
      <c r="C2" s="522"/>
      <c r="D2" s="523"/>
      <c r="E2" s="780" t="str">
        <f>"En "&amp;Coverpage!$I$15&amp;" de "&amp;Coverpage!$I$14&amp;" / El año fiscal termina en "&amp;Coverpage!$I$11&amp;" "&amp;Coverpage!$I$12</f>
        <v xml:space="preserve">En Billion de Colombian Pesos (COP) / El año fiscal termina en  </v>
      </c>
      <c r="F2" s="781"/>
      <c r="G2" s="781"/>
      <c r="H2" s="781"/>
      <c r="I2" s="781"/>
      <c r="J2" s="781"/>
      <c r="K2" s="781"/>
      <c r="L2" s="781"/>
      <c r="M2" s="781"/>
      <c r="N2" s="519"/>
      <c r="O2" s="695" t="s">
        <v>2732</v>
      </c>
      <c r="P2" s="223"/>
    </row>
    <row r="3" spans="1:16" ht="12" customHeight="1" x14ac:dyDescent="0.25">
      <c r="A3" s="663"/>
      <c r="B3" s="74"/>
      <c r="C3" s="75"/>
      <c r="D3" s="664"/>
      <c r="E3" s="665"/>
      <c r="F3" s="783" t="s">
        <v>2726</v>
      </c>
      <c r="G3" s="783"/>
      <c r="H3" s="666" t="str">
        <f>Reporting_Period_Code</f>
        <v>2016</v>
      </c>
      <c r="I3" s="666"/>
      <c r="J3" s="665"/>
      <c r="K3" s="665"/>
      <c r="L3" s="667"/>
      <c r="M3" s="772" t="s">
        <v>2723</v>
      </c>
      <c r="N3" s="103"/>
      <c r="O3" s="168"/>
      <c r="P3" s="168"/>
    </row>
    <row r="4" spans="1:16" ht="12" customHeight="1" x14ac:dyDescent="0.2">
      <c r="A4" s="769" t="s">
        <v>2779</v>
      </c>
      <c r="B4" s="770"/>
      <c r="C4" s="76"/>
      <c r="D4" s="774" t="s">
        <v>2727</v>
      </c>
      <c r="E4" s="775"/>
      <c r="F4" s="775"/>
      <c r="G4" s="776"/>
      <c r="H4" s="772" t="s">
        <v>2719</v>
      </c>
      <c r="I4" s="772" t="s">
        <v>2720</v>
      </c>
      <c r="J4" s="782" t="s">
        <v>2721</v>
      </c>
      <c r="K4" s="772" t="s">
        <v>2728</v>
      </c>
      <c r="L4" s="777" t="s">
        <v>2722</v>
      </c>
      <c r="M4" s="773"/>
      <c r="N4" s="103"/>
      <c r="O4" s="778" t="s">
        <v>2733</v>
      </c>
      <c r="P4" s="779"/>
    </row>
    <row r="5" spans="1:16" ht="30" customHeight="1" x14ac:dyDescent="0.2">
      <c r="A5" s="769"/>
      <c r="B5" s="770"/>
      <c r="C5" s="76"/>
      <c r="D5" s="691" t="s">
        <v>2729</v>
      </c>
      <c r="E5" s="692" t="s">
        <v>2730</v>
      </c>
      <c r="F5" s="692" t="s">
        <v>2728</v>
      </c>
      <c r="G5" s="693" t="s">
        <v>2718</v>
      </c>
      <c r="H5" s="773"/>
      <c r="I5" s="773"/>
      <c r="J5" s="782"/>
      <c r="K5" s="773"/>
      <c r="L5" s="777"/>
      <c r="M5" s="773"/>
      <c r="N5" s="103"/>
      <c r="O5" s="668" t="s">
        <v>2734</v>
      </c>
      <c r="P5" s="669" t="s">
        <v>2735</v>
      </c>
    </row>
    <row r="6" spans="1:16" ht="10.5" customHeight="1" x14ac:dyDescent="0.2">
      <c r="A6" s="142"/>
      <c r="B6" s="77"/>
      <c r="C6" s="77"/>
      <c r="D6" s="670" t="s">
        <v>632</v>
      </c>
      <c r="E6" s="671" t="s">
        <v>633</v>
      </c>
      <c r="F6" s="671" t="s">
        <v>155</v>
      </c>
      <c r="G6" s="672" t="s">
        <v>634</v>
      </c>
      <c r="H6" s="671" t="s">
        <v>635</v>
      </c>
      <c r="I6" s="671" t="s">
        <v>636</v>
      </c>
      <c r="J6" s="672" t="s">
        <v>637</v>
      </c>
      <c r="K6" s="671" t="s">
        <v>156</v>
      </c>
      <c r="L6" s="673" t="s">
        <v>638</v>
      </c>
      <c r="M6" s="673" t="s">
        <v>639</v>
      </c>
      <c r="N6" s="103"/>
      <c r="O6" s="674" t="s">
        <v>640</v>
      </c>
      <c r="P6" s="675" t="s">
        <v>641</v>
      </c>
    </row>
    <row r="7" spans="1:16" ht="13.5" customHeight="1" x14ac:dyDescent="0.25">
      <c r="A7" s="592" t="s">
        <v>990</v>
      </c>
      <c r="B7" s="542" t="s">
        <v>2736</v>
      </c>
      <c r="C7" s="532" t="s">
        <v>48</v>
      </c>
      <c r="D7" s="543"/>
      <c r="E7" s="543"/>
      <c r="F7" s="543"/>
      <c r="G7" s="544"/>
      <c r="H7" s="543"/>
      <c r="I7" s="543"/>
      <c r="J7" s="544"/>
      <c r="K7" s="543"/>
      <c r="L7" s="545"/>
      <c r="M7" s="543"/>
      <c r="N7" s="546"/>
      <c r="O7" s="178"/>
      <c r="P7" s="179"/>
    </row>
    <row r="8" spans="1:16" ht="14.1" customHeight="1" x14ac:dyDescent="0.25">
      <c r="A8" s="547" t="s">
        <v>57</v>
      </c>
      <c r="B8" s="548" t="s">
        <v>2737</v>
      </c>
      <c r="C8" s="532" t="s">
        <v>48</v>
      </c>
      <c r="D8" s="498">
        <f>+IF(ISBLANK(Table1!E8),"",Table1!E8)</f>
        <v>173439.89350200002</v>
      </c>
      <c r="E8" s="498">
        <f>+IF(ISBLANK(Table1!F8),"",Table1!F8)</f>
        <v>4702.7162149999995</v>
      </c>
      <c r="F8" s="498">
        <f>+IF(ISBLANK(Table1!G8),"",Table1!G8)</f>
        <v>-3092.7434559999992</v>
      </c>
      <c r="G8" s="498">
        <f>+IF(ISBLANK(Table1!H8),"",Table1!H8)</f>
        <v>175049.90018200001</v>
      </c>
      <c r="H8" s="498">
        <f>+IF(ISBLANK(Table1!I8),"",Table1!I8)</f>
        <v>3491.5217659999989</v>
      </c>
      <c r="I8" s="498">
        <f>+IF(ISBLANK(Table1!J8),"",Table1!J8)</f>
        <v>30293.641395999999</v>
      </c>
      <c r="J8" s="498">
        <f>+IF(ISBLANK(Table1!K8),"",Table1!K8)</f>
        <v>67712.795551999996</v>
      </c>
      <c r="K8" s="498">
        <f>+IF(ISBLANK(Table1!L8),"",Table1!L8)</f>
        <v>-56116.724443999992</v>
      </c>
      <c r="L8" s="498">
        <f>+IF(ISBLANK(Table1!M8),"",Table1!M8)</f>
        <v>220431.13445199997</v>
      </c>
      <c r="M8" s="498">
        <f>+IF(ISBLANK(Table1!N8),"",Table1!N8)</f>
        <v>178541.421948</v>
      </c>
      <c r="N8" s="546"/>
      <c r="O8" s="178">
        <f t="shared" ref="O8:O23" si="0">IF(OR(G8="NA",D8="NA",E8="NA",F8="NA"),"NA",SUM(G8)-SUM(D8:F8))</f>
        <v>3.3920999994734302E-2</v>
      </c>
      <c r="P8" s="179">
        <f t="shared" ref="P8:P23" si="1">IF(OR(L8="NA",G8="NA",H8="NA",I8="NA",J8="NA",K8="NA"),"NA",SUM(L8)-SUM(G8:K8))</f>
        <v>0</v>
      </c>
    </row>
    <row r="9" spans="1:16" ht="10.35" customHeight="1" x14ac:dyDescent="0.25">
      <c r="A9" s="549" t="s">
        <v>991</v>
      </c>
      <c r="B9" s="550" t="s">
        <v>2738</v>
      </c>
      <c r="C9" s="532" t="s">
        <v>48</v>
      </c>
      <c r="D9" s="479">
        <f>+IF(ISBLANK(Table1!E9),"",Table1!E9)</f>
        <v>118258.00818700001</v>
      </c>
      <c r="E9" s="479">
        <f>+IF(ISBLANK(Table1!F9),"",Table1!F9)</f>
        <v>267.65703600000001</v>
      </c>
      <c r="F9" s="479">
        <f>+IF(ISBLANK(Table1!G9),"",Table1!G9)</f>
        <v>-40.992016</v>
      </c>
      <c r="G9" s="479">
        <f>+IF(ISBLANK(Table1!H9),"",Table1!H9)</f>
        <v>118484.70712800001</v>
      </c>
      <c r="H9" s="479">
        <f>+IF(ISBLANK(Table1!I9),"",Table1!I9)</f>
        <v>0</v>
      </c>
      <c r="I9" s="479">
        <f>+IF(ISBLANK(Table1!J9),"",Table1!J9)</f>
        <v>7609.9916949999997</v>
      </c>
      <c r="J9" s="479">
        <f>+IF(ISBLANK(Table1!K9),"",Table1!K9)</f>
        <v>20842.438086999999</v>
      </c>
      <c r="K9" s="479">
        <f>+IF(ISBLANK(Table1!L9),"",Table1!L9)</f>
        <v>-1090.3411530000001</v>
      </c>
      <c r="L9" s="479">
        <f>+IF(ISBLANK(Table1!M9),"",Table1!M9)</f>
        <v>145846.79575699999</v>
      </c>
      <c r="M9" s="479">
        <f>+IF(ISBLANK(Table1!N9),"",Table1!N9)</f>
        <v>118484.70712800001</v>
      </c>
      <c r="N9" s="546"/>
      <c r="O9" s="178">
        <f t="shared" si="0"/>
        <v>3.3920999994734302E-2</v>
      </c>
      <c r="P9" s="179">
        <f t="shared" si="1"/>
        <v>-2.9103830456733704E-11</v>
      </c>
    </row>
    <row r="10" spans="1:16" ht="10.35" customHeight="1" x14ac:dyDescent="0.25">
      <c r="A10" s="549" t="s">
        <v>192</v>
      </c>
      <c r="B10" s="550" t="s">
        <v>2739</v>
      </c>
      <c r="C10" s="532" t="s">
        <v>48</v>
      </c>
      <c r="D10" s="479">
        <f>+IF(ISBLANK(Table1!E42),"",Table1!E42)</f>
        <v>15658.961817000001</v>
      </c>
      <c r="E10" s="479">
        <f>+IF(ISBLANK(Table1!F42),"",Table1!F42)</f>
        <v>69.824678000000006</v>
      </c>
      <c r="F10" s="479">
        <f>+IF(ISBLANK(Table1!G42),"",Table1!G42)</f>
        <v>0</v>
      </c>
      <c r="G10" s="479">
        <f>+IF(ISBLANK(Table1!H42),"",Table1!H42)</f>
        <v>15728.786495</v>
      </c>
      <c r="H10" s="479">
        <f>+IF(ISBLANK(Table1!I42),"",Table1!I42)</f>
        <v>0</v>
      </c>
      <c r="I10" s="479">
        <f>+IF(ISBLANK(Table1!J42),"",Table1!J42)</f>
        <v>0.28147</v>
      </c>
      <c r="J10" s="479">
        <f>+IF(ISBLANK(Table1!K42),"",Table1!K42)</f>
        <v>0</v>
      </c>
      <c r="K10" s="479">
        <f>+IF(ISBLANK(Table1!L42),"",Table1!L42)</f>
        <v>0</v>
      </c>
      <c r="L10" s="479">
        <f>+IF(ISBLANK(Table1!M42),"",Table1!M42)</f>
        <v>15729.067965</v>
      </c>
      <c r="M10" s="479">
        <f>+IF(ISBLANK(Table1!N42),"",Table1!N42)</f>
        <v>15728.786495</v>
      </c>
      <c r="N10" s="546"/>
      <c r="O10" s="178">
        <f t="shared" si="0"/>
        <v>-1.8189894035458565E-12</v>
      </c>
      <c r="P10" s="179">
        <f t="shared" si="1"/>
        <v>0</v>
      </c>
    </row>
    <row r="11" spans="1:16" ht="10.35" customHeight="1" x14ac:dyDescent="0.25">
      <c r="A11" s="549" t="s">
        <v>1033</v>
      </c>
      <c r="B11" s="550" t="s">
        <v>2740</v>
      </c>
      <c r="C11" s="532" t="s">
        <v>48</v>
      </c>
      <c r="D11" s="479">
        <f>+IF(ISBLANK(Table1!E52),"",Table1!E52)</f>
        <v>945.68216200000006</v>
      </c>
      <c r="E11" s="479">
        <f>+IF(ISBLANK(Table1!F52),"",Table1!F52)</f>
        <v>2749.944137</v>
      </c>
      <c r="F11" s="479">
        <f>+IF(ISBLANK(Table1!G52),"",Table1!G52)</f>
        <v>-2774.6789039999999</v>
      </c>
      <c r="G11" s="479">
        <f>+IF(ISBLANK(Table1!H52),"",Table1!H52)</f>
        <v>920.94739499999991</v>
      </c>
      <c r="H11" s="479">
        <f>+IF(ISBLANK(Table1!I52),"",Table1!I52)</f>
        <v>1098.7212459999998</v>
      </c>
      <c r="I11" s="479">
        <f>+IF(ISBLANK(Table1!J52),"",Table1!J52)</f>
        <v>16974.117071000001</v>
      </c>
      <c r="J11" s="479">
        <f>+IF(ISBLANK(Table1!K52),"",Table1!K52)</f>
        <v>36732.511713</v>
      </c>
      <c r="K11" s="479">
        <f>+IF(ISBLANK(Table1!L52),"",Table1!L52)</f>
        <v>-53899.312476999992</v>
      </c>
      <c r="L11" s="479">
        <f>+IF(ISBLANK(Table1!M52),"",Table1!M52)</f>
        <v>1826.9849480000062</v>
      </c>
      <c r="M11" s="479">
        <f>+IF(ISBLANK(Table1!N52),"",Table1!N52)</f>
        <v>2019.6686409999998</v>
      </c>
      <c r="N11" s="546"/>
      <c r="O11" s="178">
        <f t="shared" si="0"/>
        <v>-2.2737367544323206E-13</v>
      </c>
      <c r="P11" s="179">
        <f t="shared" si="1"/>
        <v>1.3642420526593924E-12</v>
      </c>
    </row>
    <row r="12" spans="1:16" ht="10.35" customHeight="1" x14ac:dyDescent="0.25">
      <c r="A12" s="549" t="s">
        <v>1040</v>
      </c>
      <c r="B12" s="550" t="s">
        <v>2741</v>
      </c>
      <c r="C12" s="532" t="s">
        <v>48</v>
      </c>
      <c r="D12" s="479">
        <f>+IF(ISBLANK(Table1!E62),"",Table1!E62)</f>
        <v>38577.241336000006</v>
      </c>
      <c r="E12" s="479">
        <f>+IF(ISBLANK(Table1!F62),"",Table1!F62)</f>
        <v>1615.2903639999997</v>
      </c>
      <c r="F12" s="479">
        <f>+IF(ISBLANK(Table1!G62),"",Table1!G62)</f>
        <v>-277.0725359999991</v>
      </c>
      <c r="G12" s="479">
        <f>+IF(ISBLANK(Table1!H62),"",Table1!H62)</f>
        <v>39915.459164</v>
      </c>
      <c r="H12" s="479">
        <f>+IF(ISBLANK(Table1!I62),"",Table1!I62)</f>
        <v>2392.8005199999993</v>
      </c>
      <c r="I12" s="479">
        <f>+IF(ISBLANK(Table1!J62),"",Table1!J62)</f>
        <v>5709.2511600000007</v>
      </c>
      <c r="J12" s="479">
        <f>+IF(ISBLANK(Table1!K62),"",Table1!K62)</f>
        <v>10137.845751999999</v>
      </c>
      <c r="K12" s="479">
        <f>+IF(ISBLANK(Table1!L62),"",Table1!L62)</f>
        <v>-1127.0708139999988</v>
      </c>
      <c r="L12" s="479">
        <f>+IF(ISBLANK(Table1!M62),"",Table1!M62)</f>
        <v>57028.285781999992</v>
      </c>
      <c r="M12" s="479">
        <f>+IF(ISBLANK(Table1!N62),"",Table1!N62)</f>
        <v>42308.259683999997</v>
      </c>
      <c r="N12" s="546"/>
      <c r="O12" s="178">
        <f t="shared" si="0"/>
        <v>-7.2759576141834259E-12</v>
      </c>
      <c r="P12" s="179">
        <f t="shared" si="1"/>
        <v>-7.2759576141834259E-12</v>
      </c>
    </row>
    <row r="13" spans="1:16" ht="15" customHeight="1" x14ac:dyDescent="0.25">
      <c r="A13" s="547" t="s">
        <v>58</v>
      </c>
      <c r="B13" s="548" t="s">
        <v>2742</v>
      </c>
      <c r="C13" s="532" t="s">
        <v>48</v>
      </c>
      <c r="D13" s="498">
        <f>+IF(ISBLANK(Table2!E8),"",Table2!E8)</f>
        <v>214559.94608200001</v>
      </c>
      <c r="E13" s="498">
        <f>+IF(ISBLANK(Table2!F8),"",Table2!F8)</f>
        <v>4284.9701819999991</v>
      </c>
      <c r="F13" s="498">
        <f>+IF(ISBLANK(Table2!G8),"",Table2!G8)</f>
        <v>-3382.9422169999889</v>
      </c>
      <c r="G13" s="498">
        <f>+IF(ISBLANK(Table2!H8),"",Table2!H8)</f>
        <v>215461.974047</v>
      </c>
      <c r="H13" s="498">
        <f>+IF(ISBLANK(Table2!I8),"",Table2!I8)</f>
        <v>2740.9215799999997</v>
      </c>
      <c r="I13" s="498">
        <f>+IF(ISBLANK(Table2!J8),"",Table2!J8)</f>
        <v>26515.862986260134</v>
      </c>
      <c r="J13" s="498">
        <f>+IF(ISBLANK(Table2!K8),"",Table2!K8)</f>
        <v>60741.233942999999</v>
      </c>
      <c r="K13" s="498">
        <f>+IF(ISBLANK(Table2!L8),"",Table2!L8)</f>
        <v>-59207.460456000001</v>
      </c>
      <c r="L13" s="498">
        <f>+IF(ISBLANK(Table2!M8),"",Table2!M8)</f>
        <v>246252.53210026014</v>
      </c>
      <c r="M13" s="498">
        <f>+IF(ISBLANK(Table2!N8),"",Table2!N8)</f>
        <v>218202.89562699999</v>
      </c>
      <c r="N13" s="546"/>
      <c r="O13" s="178">
        <f t="shared" si="0"/>
        <v>0</v>
      </c>
      <c r="P13" s="179">
        <f t="shared" si="1"/>
        <v>5.8207660913467407E-11</v>
      </c>
    </row>
    <row r="14" spans="1:16" ht="10.35" customHeight="1" x14ac:dyDescent="0.25">
      <c r="A14" s="549" t="s">
        <v>193</v>
      </c>
      <c r="B14" s="550" t="s">
        <v>2743</v>
      </c>
      <c r="C14" s="532" t="s">
        <v>48</v>
      </c>
      <c r="D14" s="479">
        <f>+IF(ISBLANK(Table2!E9),"",Table2!E9)</f>
        <v>35917.665376000004</v>
      </c>
      <c r="E14" s="479">
        <f>+IF(ISBLANK(Table2!F9),"",Table2!F9)</f>
        <v>987.33614799999998</v>
      </c>
      <c r="F14" s="479">
        <f>+IF(ISBLANK(Table2!G9),"",Table2!G9)</f>
        <v>-3.7968399999999747</v>
      </c>
      <c r="G14" s="479">
        <f>+IF(ISBLANK(Table2!H9),"",Table2!H9)</f>
        <v>36901.204684000004</v>
      </c>
      <c r="H14" s="479">
        <f>+IF(ISBLANK(Table2!I9),"",Table2!I9)</f>
        <v>776.08519100000001</v>
      </c>
      <c r="I14" s="479">
        <f>+IF(ISBLANK(Table2!J9),"",Table2!J9)</f>
        <v>10327.566404000001</v>
      </c>
      <c r="J14" s="479">
        <f>+IF(ISBLANK(Table2!K9),"",Table2!K9)</f>
        <v>10452.570718999999</v>
      </c>
      <c r="K14" s="479">
        <f>+IF(ISBLANK(Table2!L9),"",Table2!L9)</f>
        <v>-3.9754190000003291</v>
      </c>
      <c r="L14" s="479">
        <f>+IF(ISBLANK(Table2!M9),"",Table2!M9)</f>
        <v>58453.451579</v>
      </c>
      <c r="M14" s="479">
        <f>+IF(ISBLANK(Table2!N9),"",Table2!N9)</f>
        <v>37677.289875000002</v>
      </c>
      <c r="N14" s="546"/>
      <c r="O14" s="178">
        <f t="shared" si="0"/>
        <v>0</v>
      </c>
      <c r="P14" s="179">
        <f t="shared" si="1"/>
        <v>7.2759576141834259E-12</v>
      </c>
    </row>
    <row r="15" spans="1:16" ht="10.35" customHeight="1" x14ac:dyDescent="0.25">
      <c r="A15" s="549" t="s">
        <v>1061</v>
      </c>
      <c r="B15" s="550" t="s">
        <v>2744</v>
      </c>
      <c r="C15" s="532" t="s">
        <v>48</v>
      </c>
      <c r="D15" s="479">
        <f>+IF(ISBLANK(Table2!E14),"",Table2!E14)</f>
        <v>22662.600287000001</v>
      </c>
      <c r="E15" s="479">
        <f>+IF(ISBLANK(Table2!F14),"",Table2!F14)</f>
        <v>2734.6200859999999</v>
      </c>
      <c r="F15" s="479">
        <f>+IF(ISBLANK(Table2!G14),"",Table2!G14)</f>
        <v>-463.25719799999933</v>
      </c>
      <c r="G15" s="479">
        <f>+IF(ISBLANK(Table2!H14),"",Table2!H14)</f>
        <v>24933.963175000001</v>
      </c>
      <c r="H15" s="479">
        <f>+IF(ISBLANK(Table2!I14),"",Table2!I14)</f>
        <v>499.68318599999998</v>
      </c>
      <c r="I15" s="479">
        <f>+IF(ISBLANK(Table2!J14),"",Table2!J14)</f>
        <v>5401.4995310000004</v>
      </c>
      <c r="J15" s="479">
        <f>+IF(ISBLANK(Table2!K14),"",Table2!K14)</f>
        <v>13705.923046</v>
      </c>
      <c r="K15" s="479">
        <f>+IF(ISBLANK(Table2!L14),"",Table2!L14)</f>
        <v>-550.12917099999686</v>
      </c>
      <c r="L15" s="479">
        <f>+IF(ISBLANK(Table2!M14),"",Table2!M14)</f>
        <v>43990.939767000003</v>
      </c>
      <c r="M15" s="479">
        <f>+IF(ISBLANK(Table2!N14),"",Table2!N14)</f>
        <v>25433.646360999999</v>
      </c>
      <c r="N15" s="546"/>
      <c r="O15" s="178">
        <f t="shared" si="0"/>
        <v>0</v>
      </c>
      <c r="P15" s="179">
        <f t="shared" si="1"/>
        <v>0</v>
      </c>
    </row>
    <row r="16" spans="1:16" ht="10.35" customHeight="1" x14ac:dyDescent="0.25">
      <c r="A16" s="549" t="s">
        <v>1062</v>
      </c>
      <c r="B16" s="550" t="s">
        <v>2745</v>
      </c>
      <c r="C16" s="532" t="s">
        <v>48</v>
      </c>
      <c r="D16" s="479">
        <f>+IF(ISBLANK(Table2!E15),"",Table2!E15)</f>
        <v>4036.1440440000001</v>
      </c>
      <c r="E16" s="479">
        <f>+IF(ISBLANK(Table2!F15),"",Table2!F15)</f>
        <v>80.038404</v>
      </c>
      <c r="F16" s="479">
        <f>+IF(ISBLANK(Table2!G15),"",Table2!G15)</f>
        <v>0</v>
      </c>
      <c r="G16" s="479">
        <f>+IF(ISBLANK(Table2!H15),"",Table2!H15)</f>
        <v>4116.1824480000005</v>
      </c>
      <c r="H16" s="479">
        <f>+IF(ISBLANK(Table2!I15),"",Table2!I15)</f>
        <v>4.0207750000000004</v>
      </c>
      <c r="I16" s="479">
        <f>+IF(ISBLANK(Table2!J15),"",Table2!J15)</f>
        <v>1181.7842942601301</v>
      </c>
      <c r="J16" s="479">
        <f>+IF(ISBLANK(Table2!K15),"",Table2!K15)</f>
        <v>4839.9525679999997</v>
      </c>
      <c r="K16" s="479">
        <f>+IF(ISBLANK(Table2!L15),"",Table2!L15)</f>
        <v>0</v>
      </c>
      <c r="L16" s="479">
        <f>+IF(ISBLANK(Table2!M15),"",Table2!M15)</f>
        <v>10141.94008526013</v>
      </c>
      <c r="M16" s="479">
        <f>+IF(ISBLANK(Table2!N15),"",Table2!N15)</f>
        <v>4120.2032230000004</v>
      </c>
      <c r="N16" s="546"/>
      <c r="O16" s="178">
        <f t="shared" si="0"/>
        <v>0</v>
      </c>
      <c r="P16" s="179">
        <f t="shared" si="1"/>
        <v>0</v>
      </c>
    </row>
    <row r="17" spans="1:16" ht="10.35" customHeight="1" x14ac:dyDescent="0.25">
      <c r="A17" s="549" t="s">
        <v>1063</v>
      </c>
      <c r="B17" s="550" t="s">
        <v>2746</v>
      </c>
      <c r="C17" s="532" t="s">
        <v>48</v>
      </c>
      <c r="D17" s="479">
        <f>+IF(ISBLANK(Table2!E16),"",Table2!E16)</f>
        <v>24099.318120999997</v>
      </c>
      <c r="E17" s="479">
        <f>+IF(ISBLANK(Table2!F16),"",Table2!F16)</f>
        <v>8.8091280000000012</v>
      </c>
      <c r="F17" s="479">
        <f>+IF(ISBLANK(Table2!G16),"",Table2!G16)</f>
        <v>0</v>
      </c>
      <c r="G17" s="479">
        <f>+IF(ISBLANK(Table2!H16),"",Table2!H16)</f>
        <v>24108.127248999994</v>
      </c>
      <c r="H17" s="479">
        <f>+IF(ISBLANK(Table2!I16),"",Table2!I16)</f>
        <v>4.6810000000000003E-3</v>
      </c>
      <c r="I17" s="479">
        <f>+IF(ISBLANK(Table2!J16),"",Table2!J16)</f>
        <v>383.09631499999995</v>
      </c>
      <c r="J17" s="479">
        <f>+IF(ISBLANK(Table2!K16),"",Table2!K16)</f>
        <v>646.20284500000002</v>
      </c>
      <c r="K17" s="479">
        <f>+IF(ISBLANK(Table2!L16),"",Table2!L16)</f>
        <v>-358.78285000000108</v>
      </c>
      <c r="L17" s="479">
        <f>+IF(ISBLANK(Table2!M16),"",Table2!M16)</f>
        <v>24778.648239999999</v>
      </c>
      <c r="M17" s="479">
        <f>+IF(ISBLANK(Table2!N16),"",Table2!N16)</f>
        <v>24108.131929999996</v>
      </c>
      <c r="N17" s="546"/>
      <c r="O17" s="178">
        <f t="shared" si="0"/>
        <v>-3.637978807091713E-12</v>
      </c>
      <c r="P17" s="179">
        <f t="shared" si="1"/>
        <v>7.2759576141834259E-12</v>
      </c>
    </row>
    <row r="18" spans="1:16" ht="10.35" customHeight="1" x14ac:dyDescent="0.25">
      <c r="A18" s="549" t="s">
        <v>194</v>
      </c>
      <c r="B18" s="550" t="s">
        <v>2747</v>
      </c>
      <c r="C18" s="532" t="s">
        <v>48</v>
      </c>
      <c r="D18" s="479">
        <f>+IF(ISBLANK(Table2!E20),"",Table2!E20)</f>
        <v>1989.1602090000001</v>
      </c>
      <c r="E18" s="479">
        <f>+IF(ISBLANK(Table2!F20),"",Table2!F20)</f>
        <v>5.0819999999999997E-2</v>
      </c>
      <c r="F18" s="479">
        <f>+IF(ISBLANK(Table2!G20),"",Table2!G20)</f>
        <v>0</v>
      </c>
      <c r="G18" s="479">
        <f>+IF(ISBLANK(Table2!H20),"",Table2!H20)</f>
        <v>1989.2110290000001</v>
      </c>
      <c r="H18" s="479">
        <f>+IF(ISBLANK(Table2!I20),"",Table2!I20)</f>
        <v>0</v>
      </c>
      <c r="I18" s="479">
        <f>+IF(ISBLANK(Table2!J20),"",Table2!J20)</f>
        <v>1.9693459999999998</v>
      </c>
      <c r="J18" s="479">
        <f>+IF(ISBLANK(Table2!K20),"",Table2!K20)</f>
        <v>862.06342500000005</v>
      </c>
      <c r="K18" s="479">
        <f>+IF(ISBLANK(Table2!L20),"",Table2!L20)</f>
        <v>0</v>
      </c>
      <c r="L18" s="479">
        <f>+IF(ISBLANK(Table2!M20),"",Table2!M20)</f>
        <v>2853.2438000000002</v>
      </c>
      <c r="M18" s="479">
        <f>+IF(ISBLANK(Table2!N20),"",Table2!N20)</f>
        <v>1989.2110290000001</v>
      </c>
      <c r="N18" s="546"/>
      <c r="O18" s="178">
        <f t="shared" si="0"/>
        <v>0</v>
      </c>
      <c r="P18" s="179">
        <f t="shared" si="1"/>
        <v>0</v>
      </c>
    </row>
    <row r="19" spans="1:16" ht="10.35" customHeight="1" x14ac:dyDescent="0.25">
      <c r="A19" s="549" t="s">
        <v>1067</v>
      </c>
      <c r="B19" s="550" t="s">
        <v>2740</v>
      </c>
      <c r="C19" s="532" t="s">
        <v>48</v>
      </c>
      <c r="D19" s="479">
        <f>+IF(ISBLANK(Table2!E24),"",Table2!E24)</f>
        <v>74743.698170999996</v>
      </c>
      <c r="E19" s="479">
        <f>+IF(ISBLANK(Table2!F24),"",Table2!F24)</f>
        <v>14.12998</v>
      </c>
      <c r="F19" s="479">
        <f>+IF(ISBLANK(Table2!G24),"",Table2!G24)</f>
        <v>-2867.4240309999905</v>
      </c>
      <c r="G19" s="479">
        <f>+IF(ISBLANK(Table2!H24),"",Table2!H24)</f>
        <v>71890.404120000007</v>
      </c>
      <c r="H19" s="479">
        <f>+IF(ISBLANK(Table2!I24),"",Table2!I24)</f>
        <v>0</v>
      </c>
      <c r="I19" s="479">
        <f>+IF(ISBLANK(Table2!J24),"",Table2!J24)</f>
        <v>1366.4219169999999</v>
      </c>
      <c r="J19" s="479">
        <f>+IF(ISBLANK(Table2!K24),"",Table2!K24)</f>
        <v>2365.6331530000002</v>
      </c>
      <c r="K19" s="479">
        <f>+IF(ISBLANK(Table2!L24),"",Table2!L24)</f>
        <v>-57263.642900999999</v>
      </c>
      <c r="L19" s="479">
        <f>+IF(ISBLANK(Table2!M24),"",Table2!M24)</f>
        <v>18358.816289000002</v>
      </c>
      <c r="M19" s="479">
        <f>+IF(ISBLANK(Table2!N24),"",Table2!N24)</f>
        <v>71890.404119999992</v>
      </c>
      <c r="N19" s="546"/>
      <c r="O19" s="178">
        <f t="shared" si="0"/>
        <v>0</v>
      </c>
      <c r="P19" s="179">
        <f t="shared" si="1"/>
        <v>-7.2759576141834259E-12</v>
      </c>
    </row>
    <row r="20" spans="1:16" ht="10.35" customHeight="1" x14ac:dyDescent="0.25">
      <c r="A20" s="549" t="s">
        <v>195</v>
      </c>
      <c r="B20" s="550" t="s">
        <v>2748</v>
      </c>
      <c r="C20" s="532" t="s">
        <v>48</v>
      </c>
      <c r="D20" s="479">
        <f>+IF(ISBLANK(Table2!E34),"",Table2!E34)</f>
        <v>21393.540126</v>
      </c>
      <c r="E20" s="479">
        <f>+IF(ISBLANK(Table2!F34),"",Table2!F34)</f>
        <v>15.595727999999999</v>
      </c>
      <c r="F20" s="479">
        <f>+IF(ISBLANK(Table2!G34),"",Table2!G34)</f>
        <v>0</v>
      </c>
      <c r="G20" s="479">
        <f>+IF(ISBLANK(Table2!H34),"",Table2!H34)</f>
        <v>21409.135854</v>
      </c>
      <c r="H20" s="479">
        <f>+IF(ISBLANK(Table2!I34),"",Table2!I34)</f>
        <v>2.1115900000000001</v>
      </c>
      <c r="I20" s="479">
        <f>+IF(ISBLANK(Table2!J34),"",Table2!J34)</f>
        <v>1380.5474489999999</v>
      </c>
      <c r="J20" s="479">
        <f>+IF(ISBLANK(Table2!K34),"",Table2!K34)</f>
        <v>1580.0952130000001</v>
      </c>
      <c r="K20" s="479">
        <f>+IF(ISBLANK(Table2!L34),"",Table2!L34)</f>
        <v>0</v>
      </c>
      <c r="L20" s="479">
        <f>+IF(ISBLANK(Table2!M34),"",Table2!M34)</f>
        <v>24371.890105999999</v>
      </c>
      <c r="M20" s="479">
        <f>+IF(ISBLANK(Table2!N34),"",Table2!N34)</f>
        <v>21411.247444000001</v>
      </c>
      <c r="N20" s="546"/>
      <c r="O20" s="178">
        <f t="shared" si="0"/>
        <v>0</v>
      </c>
      <c r="P20" s="179">
        <f t="shared" si="1"/>
        <v>-3.637978807091713E-12</v>
      </c>
    </row>
    <row r="21" spans="1:16" ht="10.35" customHeight="1" x14ac:dyDescent="0.25">
      <c r="A21" s="551" t="s">
        <v>1077</v>
      </c>
      <c r="B21" s="552" t="s">
        <v>2749</v>
      </c>
      <c r="C21" s="553" t="s">
        <v>48</v>
      </c>
      <c r="D21" s="499">
        <f>+IF(ISBLANK(Table2!E38),"",Table2!E38)</f>
        <v>29717.819748000002</v>
      </c>
      <c r="E21" s="499">
        <f>+IF(ISBLANK(Table2!F38),"",Table2!F38)</f>
        <v>444.38988799999998</v>
      </c>
      <c r="F21" s="499">
        <f>+IF(ISBLANK(Table2!G38),"",Table2!G38)</f>
        <v>-48.464147999999113</v>
      </c>
      <c r="G21" s="499">
        <f>+IF(ISBLANK(Table2!H38),"",Table2!H38)</f>
        <v>30113.745488</v>
      </c>
      <c r="H21" s="499">
        <f>+IF(ISBLANK(Table2!I38),"",Table2!I38)</f>
        <v>1459.016157</v>
      </c>
      <c r="I21" s="499">
        <f>+IF(ISBLANK(Table2!J38),"",Table2!J38)</f>
        <v>6472.9777299999996</v>
      </c>
      <c r="J21" s="499">
        <f>+IF(ISBLANK(Table2!K38),"",Table2!K38)</f>
        <v>26288.792974</v>
      </c>
      <c r="K21" s="499">
        <f>+IF(ISBLANK(Table2!L38),"",Table2!L38)</f>
        <v>-1030.9301149999992</v>
      </c>
      <c r="L21" s="499">
        <f>+IF(ISBLANK(Table2!M38),"",Table2!M38)</f>
        <v>63303.602233999991</v>
      </c>
      <c r="M21" s="499">
        <f>+IF(ISBLANK(Table2!N38),"",Table2!N38)</f>
        <v>31572.761644999999</v>
      </c>
      <c r="N21" s="546"/>
      <c r="O21" s="181">
        <f t="shared" si="0"/>
        <v>-3.637978807091713E-12</v>
      </c>
      <c r="P21" s="182">
        <f t="shared" si="1"/>
        <v>-1.4551915228366852E-11</v>
      </c>
    </row>
    <row r="22" spans="1:16" ht="15" customHeight="1" x14ac:dyDescent="0.25">
      <c r="A22" s="554" t="s">
        <v>47</v>
      </c>
      <c r="B22" s="555" t="s">
        <v>2750</v>
      </c>
      <c r="C22" s="532" t="s">
        <v>48</v>
      </c>
      <c r="D22" s="498">
        <f t="shared" ref="D22:M22" si="2">IF(AND(D8="NP",D13="NP"),"NP",IF(D16="NA",IF(OR(D8="NA",D13="NA"),"NA",IF(ISNUMBER(D8)*ISNUMBER(D13),SUM(D8)-SUM(D13),"")),IF(OR(D8="NA",D13="NA",D16="NA"),"NA",IF(ISNUMBER(D8)*ISNUMBER(D13)*ISNUMBER(D16),SUM(D8)-SUM(D13)+SUM(D16),""))))</f>
        <v>-37083.908535999988</v>
      </c>
      <c r="E22" s="498">
        <f t="shared" si="2"/>
        <v>497.78443700000037</v>
      </c>
      <c r="F22" s="498">
        <f t="shared" si="2"/>
        <v>290.19876099998964</v>
      </c>
      <c r="G22" s="498">
        <f t="shared" si="2"/>
        <v>-36295.891416999984</v>
      </c>
      <c r="H22" s="498">
        <f t="shared" si="2"/>
        <v>754.62096099999917</v>
      </c>
      <c r="I22" s="498">
        <f t="shared" si="2"/>
        <v>4959.5627039999954</v>
      </c>
      <c r="J22" s="498">
        <f t="shared" si="2"/>
        <v>11811.514176999997</v>
      </c>
      <c r="K22" s="498">
        <f t="shared" si="2"/>
        <v>3090.7360120000085</v>
      </c>
      <c r="L22" s="498">
        <f t="shared" si="2"/>
        <v>-15679.457563000042</v>
      </c>
      <c r="M22" s="498">
        <f t="shared" si="2"/>
        <v>-35541.270455999984</v>
      </c>
      <c r="N22" s="546"/>
      <c r="O22" s="178">
        <f t="shared" si="0"/>
        <v>3.3921000009286217E-2</v>
      </c>
      <c r="P22" s="179">
        <f t="shared" si="1"/>
        <v>-6.0026650317013264E-11</v>
      </c>
    </row>
    <row r="23" spans="1:16" ht="15" customHeight="1" x14ac:dyDescent="0.25">
      <c r="A23" s="556" t="s">
        <v>37</v>
      </c>
      <c r="B23" s="557" t="s">
        <v>2751</v>
      </c>
      <c r="C23" s="558" t="s">
        <v>48</v>
      </c>
      <c r="D23" s="500">
        <f>IF(AND(D8="NP",D13="NP"),"NP",IF(OR(D16="NA",D16="NP"),"NA",IF(OR(D8="NA",D13="NA"),"NA",IF(ISNUMBER(D8)*ISNUMBER(D13),SUM(D8)-SUM(D13),""))))</f>
        <v>-41120.052579999989</v>
      </c>
      <c r="E23" s="500">
        <f t="shared" ref="E23:M23" si="3">IF(AND(E8="NP",E13="NP"),"NP",IF(E16="NA","NA",IF(OR(E8="NA",E13="NA"),"NA",IF(ISNUMBER(E8)*ISNUMBER(E13),SUM(E8)-SUM(E13),""))))</f>
        <v>417.74603300000035</v>
      </c>
      <c r="F23" s="500">
        <f t="shared" si="3"/>
        <v>290.19876099998964</v>
      </c>
      <c r="G23" s="500">
        <f t="shared" si="3"/>
        <v>-40412.073864999984</v>
      </c>
      <c r="H23" s="500">
        <f t="shared" si="3"/>
        <v>750.60018599999921</v>
      </c>
      <c r="I23" s="500">
        <f t="shared" si="3"/>
        <v>3777.7784097398653</v>
      </c>
      <c r="J23" s="500">
        <f t="shared" si="3"/>
        <v>6971.5616089999967</v>
      </c>
      <c r="K23" s="500">
        <f t="shared" si="3"/>
        <v>3090.7360120000085</v>
      </c>
      <c r="L23" s="500">
        <f t="shared" si="3"/>
        <v>-25821.397648260172</v>
      </c>
      <c r="M23" s="500">
        <f t="shared" si="3"/>
        <v>-39661.473678999988</v>
      </c>
      <c r="N23" s="546"/>
      <c r="O23" s="183">
        <f t="shared" si="0"/>
        <v>3.3921000009286217E-2</v>
      </c>
      <c r="P23" s="184">
        <f t="shared" si="1"/>
        <v>-5.8207660913467407E-11</v>
      </c>
    </row>
    <row r="24" spans="1:16" ht="14.25" customHeight="1" x14ac:dyDescent="0.25">
      <c r="A24" s="592" t="s">
        <v>990</v>
      </c>
      <c r="B24" s="542" t="s">
        <v>2752</v>
      </c>
      <c r="C24" s="532" t="s">
        <v>48</v>
      </c>
      <c r="D24" s="543"/>
      <c r="E24" s="543"/>
      <c r="F24" s="543"/>
      <c r="G24" s="543"/>
      <c r="H24" s="543"/>
      <c r="I24" s="543"/>
      <c r="J24" s="543"/>
      <c r="K24" s="543"/>
      <c r="L24" s="543"/>
      <c r="M24" s="543"/>
      <c r="N24" s="546"/>
      <c r="O24" s="178"/>
      <c r="P24" s="179"/>
    </row>
    <row r="25" spans="1:16" ht="10.35" customHeight="1" x14ac:dyDescent="0.25">
      <c r="A25" s="547" t="s">
        <v>158</v>
      </c>
      <c r="B25" s="548" t="s">
        <v>2753</v>
      </c>
      <c r="C25" s="532" t="s">
        <v>48</v>
      </c>
      <c r="D25" s="679">
        <f>+IF(ISBLANK(Table3!E9),"",Table3!E9)</f>
        <v>9368.8477039999998</v>
      </c>
      <c r="E25" s="679">
        <f>+IF(ISBLANK(Table3!F9),"",Table3!F9)</f>
        <v>-130.14933100000002</v>
      </c>
      <c r="F25" s="679">
        <f>+IF(ISBLANK(Table3!G9),"",Table3!G9)</f>
        <v>0</v>
      </c>
      <c r="G25" s="679">
        <f>+IF(ISBLANK(Table3!H9),"",Table3!H9)</f>
        <v>9238.6983729999993</v>
      </c>
      <c r="H25" s="679">
        <f>+IF(ISBLANK(Table3!I9),"",Table3!I9)</f>
        <v>529.74416599999995</v>
      </c>
      <c r="I25" s="679">
        <f>+IF(ISBLANK(Table3!J9),"",Table3!J9)</f>
        <v>2185.7212089999998</v>
      </c>
      <c r="J25" s="679">
        <f>+IF(ISBLANK(Table3!K9),"",Table3!K9)</f>
        <v>7747.2745940000004</v>
      </c>
      <c r="K25" s="679">
        <f>+IF(ISBLANK(Table3!L9),"",Table3!L9)</f>
        <v>0</v>
      </c>
      <c r="L25" s="679">
        <f>+IF(ISBLANK(Table3!M9),"",Table3!M9)</f>
        <v>19701.438341999998</v>
      </c>
      <c r="M25" s="679">
        <f>+IF(ISBLANK(Table3!N9),"",Table3!N9)</f>
        <v>9768.4425389999979</v>
      </c>
      <c r="N25" s="546"/>
      <c r="O25" s="178">
        <f t="shared" ref="O25:O31" si="4">IF(OR(G25="NA",D25="NA",E25="NA",F25="NA"),"NA",SUM(G25)-SUM(D25:F25))</f>
        <v>0</v>
      </c>
      <c r="P25" s="179">
        <f t="shared" ref="P25:P31" si="5">IF(OR(L25="NA",G25="NA",H25="NA",I25="NA",J25="NA",K25="NA"),"NA",SUM(L25)-SUM(G25:K25))</f>
        <v>-3.637978807091713E-12</v>
      </c>
    </row>
    <row r="26" spans="1:16" ht="10.35" customHeight="1" x14ac:dyDescent="0.25">
      <c r="A26" s="549" t="s">
        <v>1082</v>
      </c>
      <c r="B26" s="550" t="s">
        <v>2754</v>
      </c>
      <c r="C26" s="532" t="s">
        <v>48</v>
      </c>
      <c r="D26" s="479">
        <f>+IF(ISBLANK(Table3!E10),"",Table3!E10)</f>
        <v>10066.330609999999</v>
      </c>
      <c r="E26" s="479">
        <f>+IF(ISBLANK(Table3!F10),"",Table3!F10)</f>
        <v>48.877752000000001</v>
      </c>
      <c r="F26" s="479">
        <f>+IF(ISBLANK(Table3!G10),"",Table3!G10)</f>
        <v>0</v>
      </c>
      <c r="G26" s="479">
        <f>+IF(ISBLANK(Table3!H10),"",Table3!H10)</f>
        <v>10115.208361999999</v>
      </c>
      <c r="H26" s="479">
        <f>+IF(ISBLANK(Table3!I10),"",Table3!I10)</f>
        <v>538.99138199999993</v>
      </c>
      <c r="I26" s="479">
        <f>+IF(ISBLANK(Table3!J10),"",Table3!J10)</f>
        <v>2851.3488179999999</v>
      </c>
      <c r="J26" s="479">
        <f>+IF(ISBLANK(Table3!K10),"",Table3!K10)</f>
        <v>7463.6762950000002</v>
      </c>
      <c r="K26" s="479">
        <f>+IF(ISBLANK(Table3!L10),"",Table3!L10)</f>
        <v>0</v>
      </c>
      <c r="L26" s="479">
        <f>+IF(ISBLANK(Table3!M10),"",Table3!M10)</f>
        <v>20969.224856999997</v>
      </c>
      <c r="M26" s="479">
        <f>+IF(ISBLANK(Table3!N10),"",Table3!N10)</f>
        <v>10654.199743999998</v>
      </c>
      <c r="N26" s="546"/>
      <c r="O26" s="178">
        <f t="shared" si="4"/>
        <v>0</v>
      </c>
      <c r="P26" s="179">
        <f t="shared" si="5"/>
        <v>-3.637978807091713E-12</v>
      </c>
    </row>
    <row r="27" spans="1:16" ht="10.35" customHeight="1" x14ac:dyDescent="0.25">
      <c r="A27" s="549" t="s">
        <v>1087</v>
      </c>
      <c r="B27" s="550" t="s">
        <v>2755</v>
      </c>
      <c r="C27" s="532" t="s">
        <v>48</v>
      </c>
      <c r="D27" s="479">
        <f>+IF(ISBLANK(Table3!E15),"",Table3!E15)</f>
        <v>17.39</v>
      </c>
      <c r="E27" s="479">
        <f>+IF(ISBLANK(Table3!F15),"",Table3!F15)</f>
        <v>117.149</v>
      </c>
      <c r="F27" s="479">
        <f>+IF(ISBLANK(Table3!G15),"",Table3!G15)</f>
        <v>0</v>
      </c>
      <c r="G27" s="479">
        <f>+IF(ISBLANK(Table3!H15),"",Table3!H15)</f>
        <v>134.53899999999999</v>
      </c>
      <c r="H27" s="479">
        <f>+IF(ISBLANK(Table3!I15),"",Table3!I15)</f>
        <v>0.25</v>
      </c>
      <c r="I27" s="479">
        <f>+IF(ISBLANK(Table3!J15),"",Table3!J15)</f>
        <v>-63.762999999999998</v>
      </c>
      <c r="J27" s="479">
        <f>+IF(ISBLANK(Table3!K15),"",Table3!K15)</f>
        <v>36.939</v>
      </c>
      <c r="K27" s="479">
        <f>+IF(ISBLANK(Table3!L15),"",Table3!L15)</f>
        <v>0</v>
      </c>
      <c r="L27" s="479">
        <f>+IF(ISBLANK(Table3!M15),"",Table3!M15)</f>
        <v>107.96499999999997</v>
      </c>
      <c r="M27" s="479">
        <f>+IF(ISBLANK(Table3!N15),"",Table3!N15)</f>
        <v>134.78899999999999</v>
      </c>
      <c r="N27" s="546"/>
      <c r="O27" s="178">
        <f t="shared" si="4"/>
        <v>0</v>
      </c>
      <c r="P27" s="179">
        <f t="shared" si="5"/>
        <v>0</v>
      </c>
    </row>
    <row r="28" spans="1:16" ht="10.35" customHeight="1" x14ac:dyDescent="0.25">
      <c r="A28" s="549" t="s">
        <v>1088</v>
      </c>
      <c r="B28" s="550" t="s">
        <v>2756</v>
      </c>
      <c r="C28" s="532" t="s">
        <v>48</v>
      </c>
      <c r="D28" s="479">
        <f>+IF(ISBLANK(Table3!E16),"",Table3!E16)</f>
        <v>3.6931630000000268</v>
      </c>
      <c r="E28" s="479">
        <f>+IF(ISBLANK(Table3!F16),"",Table3!F16)</f>
        <v>91.201966999999996</v>
      </c>
      <c r="F28" s="479">
        <f>+IF(ISBLANK(Table3!G16),"",Table3!G16)</f>
        <v>0</v>
      </c>
      <c r="G28" s="479">
        <f>+IF(ISBLANK(Table3!H16),"",Table3!H16)</f>
        <v>94.895130000000023</v>
      </c>
      <c r="H28" s="479">
        <f>+IF(ISBLANK(Table3!I16),"",Table3!I16)</f>
        <v>0</v>
      </c>
      <c r="I28" s="479">
        <f>+IF(ISBLANK(Table3!J16),"",Table3!J16)</f>
        <v>132.61603600000001</v>
      </c>
      <c r="J28" s="479">
        <f>+IF(ISBLANK(Table3!K16),"",Table3!K16)</f>
        <v>168.99916999999999</v>
      </c>
      <c r="K28" s="479">
        <f>+IF(ISBLANK(Table3!L16),"",Table3!L16)</f>
        <v>0</v>
      </c>
      <c r="L28" s="479">
        <f>+IF(ISBLANK(Table3!M16),"",Table3!M16)</f>
        <v>396.51033600000005</v>
      </c>
      <c r="M28" s="479">
        <f>+IF(ISBLANK(Table3!N16),"",Table3!N16)</f>
        <v>94.895130000000023</v>
      </c>
      <c r="N28" s="546"/>
      <c r="O28" s="178">
        <f t="shared" si="4"/>
        <v>0</v>
      </c>
      <c r="P28" s="179">
        <f t="shared" si="5"/>
        <v>0</v>
      </c>
    </row>
    <row r="29" spans="1:16" ht="10.35" customHeight="1" x14ac:dyDescent="0.25">
      <c r="A29" s="551" t="s">
        <v>1089</v>
      </c>
      <c r="B29" s="552" t="s">
        <v>2757</v>
      </c>
      <c r="C29" s="553" t="s">
        <v>48</v>
      </c>
      <c r="D29" s="499">
        <f>+IF(ISBLANK(Table3!E17),"",Table3!E17)</f>
        <v>-718.5660690000002</v>
      </c>
      <c r="E29" s="499">
        <f>+IF(ISBLANK(Table3!F17),"",Table3!F17)</f>
        <v>-387.37805000000003</v>
      </c>
      <c r="F29" s="499">
        <f>+IF(ISBLANK(Table3!G17),"",Table3!G17)</f>
        <v>0</v>
      </c>
      <c r="G29" s="499">
        <f>+IF(ISBLANK(Table3!H17),"",Table3!H17)</f>
        <v>-1105.9441190000002</v>
      </c>
      <c r="H29" s="499">
        <f>+IF(ISBLANK(Table3!I17),"",Table3!I17)</f>
        <v>-9.4972159999999999</v>
      </c>
      <c r="I29" s="499">
        <f>+IF(ISBLANK(Table3!J17),"",Table3!J17)</f>
        <v>-734.48064499999998</v>
      </c>
      <c r="J29" s="499">
        <f>+IF(ISBLANK(Table3!K17),"",Table3!K17)</f>
        <v>77.660128999999998</v>
      </c>
      <c r="K29" s="499">
        <f>+IF(ISBLANK(Table3!L17),"",Table3!L17)</f>
        <v>0</v>
      </c>
      <c r="L29" s="499">
        <f>+IF(ISBLANK(Table3!M17),"",Table3!M17)</f>
        <v>-1772.2618510000004</v>
      </c>
      <c r="M29" s="499">
        <f>+IF(ISBLANK(Table3!N17),"",Table3!N17)</f>
        <v>-1115.4413350000002</v>
      </c>
      <c r="N29" s="546"/>
      <c r="O29" s="181">
        <f t="shared" si="4"/>
        <v>0</v>
      </c>
      <c r="P29" s="182">
        <f t="shared" si="5"/>
        <v>-4.5474735088646412E-13</v>
      </c>
    </row>
    <row r="30" spans="1:16" ht="15" customHeight="1" x14ac:dyDescent="0.25">
      <c r="A30" s="559" t="s">
        <v>384</v>
      </c>
      <c r="B30" s="560" t="s">
        <v>2758</v>
      </c>
      <c r="C30" s="553" t="s">
        <v>48</v>
      </c>
      <c r="D30" s="501">
        <f>IF(AND(D13="NP",D25="NP"),"NP",IF(OR(D13="NA",D25="NA"),"NA",IF(ISNUMBER(D13)*ISNUMBER(D25),SUM(D13)+SUM(D25),"")))</f>
        <v>223928.79378599999</v>
      </c>
      <c r="E30" s="501">
        <f t="shared" ref="E30:M30" si="6">IF(AND(E13="NP",E25="NP"),"NP",IF(OR(E13="NA",E25="NA"),"NA",IF(ISNUMBER(E13)*ISNUMBER(E25),SUM(E13)+SUM(E25),"")))</f>
        <v>4154.8208509999995</v>
      </c>
      <c r="F30" s="501">
        <f t="shared" si="6"/>
        <v>-3382.9422169999889</v>
      </c>
      <c r="G30" s="501">
        <f t="shared" si="6"/>
        <v>224700.67241999999</v>
      </c>
      <c r="H30" s="501">
        <f t="shared" si="6"/>
        <v>3270.6657459999997</v>
      </c>
      <c r="I30" s="501">
        <f t="shared" si="6"/>
        <v>28701.584195260133</v>
      </c>
      <c r="J30" s="501">
        <f t="shared" si="6"/>
        <v>68488.508537000002</v>
      </c>
      <c r="K30" s="501">
        <f t="shared" si="6"/>
        <v>-59207.460456000001</v>
      </c>
      <c r="L30" s="501">
        <f t="shared" si="6"/>
        <v>265953.97044226015</v>
      </c>
      <c r="M30" s="501">
        <f t="shared" si="6"/>
        <v>227971.338166</v>
      </c>
      <c r="N30" s="546"/>
      <c r="O30" s="181">
        <f t="shared" si="4"/>
        <v>-2.9103830456733704E-11</v>
      </c>
      <c r="P30" s="182">
        <f t="shared" si="5"/>
        <v>0</v>
      </c>
    </row>
    <row r="31" spans="1:16" ht="15" customHeight="1" x14ac:dyDescent="0.25">
      <c r="A31" s="559" t="s">
        <v>38</v>
      </c>
      <c r="B31" s="561" t="s">
        <v>2759</v>
      </c>
      <c r="C31" s="553" t="s">
        <v>48</v>
      </c>
      <c r="D31" s="501">
        <f>IF(AND(D8="NP",D13="NP",D25="NP"),"NP",IF(OR(D8="NA",D13="NA",D25="NA"),"NA",IF(ISNUMBER(D8)*ISNUMBER(D13)*ISNUMBER(D25),SUM(D8)-SUM(D13)-SUM(D25),"")))</f>
        <v>-50488.900283999988</v>
      </c>
      <c r="E31" s="501">
        <f t="shared" ref="E31:M31" si="7">IF(AND(E8="NP",E13="NP",E25="NP"),"NP",IF(OR(E8="NA",E13="NA",E25="NA"),"NA",IF(ISNUMBER(E8)*ISNUMBER(E13)*ISNUMBER(E25),SUM(E8)-SUM(E13)-SUM(E25),"")))</f>
        <v>547.89536400000043</v>
      </c>
      <c r="F31" s="501">
        <f t="shared" si="7"/>
        <v>290.19876099998964</v>
      </c>
      <c r="G31" s="501">
        <f t="shared" si="7"/>
        <v>-49650.772237999983</v>
      </c>
      <c r="H31" s="501">
        <f t="shared" si="7"/>
        <v>220.85601999999926</v>
      </c>
      <c r="I31" s="501">
        <f t="shared" si="7"/>
        <v>1592.0572007398655</v>
      </c>
      <c r="J31" s="501">
        <f t="shared" si="7"/>
        <v>-775.71298500000375</v>
      </c>
      <c r="K31" s="501">
        <f t="shared" si="7"/>
        <v>3090.7360120000085</v>
      </c>
      <c r="L31" s="501">
        <f t="shared" si="7"/>
        <v>-45522.835990260166</v>
      </c>
      <c r="M31" s="501">
        <f t="shared" si="7"/>
        <v>-49429.916217999984</v>
      </c>
      <c r="N31" s="546"/>
      <c r="O31" s="181">
        <f t="shared" si="4"/>
        <v>3.3921000009286217E-2</v>
      </c>
      <c r="P31" s="182">
        <f t="shared" si="5"/>
        <v>-5.0931703299283981E-11</v>
      </c>
    </row>
    <row r="32" spans="1:16" ht="14.25" x14ac:dyDescent="0.25">
      <c r="A32" s="593" t="s">
        <v>990</v>
      </c>
      <c r="B32" s="562" t="s">
        <v>2760</v>
      </c>
      <c r="C32" s="532" t="s">
        <v>48</v>
      </c>
      <c r="D32" s="543"/>
      <c r="E32" s="543"/>
      <c r="F32" s="543"/>
      <c r="G32" s="543"/>
      <c r="H32" s="543"/>
      <c r="I32" s="543"/>
      <c r="J32" s="543"/>
      <c r="K32" s="543"/>
      <c r="L32" s="543"/>
      <c r="M32" s="543"/>
      <c r="N32" s="546"/>
      <c r="O32" s="178"/>
      <c r="P32" s="179"/>
    </row>
    <row r="33" spans="1:16" ht="10.35" customHeight="1" x14ac:dyDescent="0.25">
      <c r="A33" s="547" t="s">
        <v>1094</v>
      </c>
      <c r="B33" s="548" t="s">
        <v>2761</v>
      </c>
      <c r="C33" s="532" t="s">
        <v>48</v>
      </c>
      <c r="D33" s="679">
        <f>+IF(ISBLANK(Table3!E22),"",Table3!E22)</f>
        <v>40146.564456074004</v>
      </c>
      <c r="E33" s="679">
        <f>+IF(ISBLANK(Table3!F22),"",Table3!F22)</f>
        <v>290.27115099999992</v>
      </c>
      <c r="F33" s="679">
        <f>+IF(ISBLANK(Table3!G22),"",Table3!G22)</f>
        <v>-1913.3820000000001</v>
      </c>
      <c r="G33" s="679">
        <f>+IF(ISBLANK(Table3!H22),"",Table3!H22)</f>
        <v>38523.453607074</v>
      </c>
      <c r="H33" s="679">
        <f>+IF(ISBLANK(Table3!I22),"",Table3!I22)</f>
        <v>158.349377</v>
      </c>
      <c r="I33" s="679">
        <f>+IF(ISBLANK(Table3!J22),"",Table3!J22)</f>
        <v>3765.364959172</v>
      </c>
      <c r="J33" s="679">
        <f>+IF(ISBLANK(Table3!K22),"",Table3!K22)</f>
        <v>10251.060048019999</v>
      </c>
      <c r="K33" s="679">
        <f>+IF(ISBLANK(Table3!L22),"",Table3!L22)</f>
        <v>-844.96100000000001</v>
      </c>
      <c r="L33" s="679">
        <f>+IF(ISBLANK(Table3!M22),"",Table3!M22)</f>
        <v>51853.266991265999</v>
      </c>
      <c r="M33" s="679">
        <f>+IF(ISBLANK(Table3!N22),"",Table3!N22)</f>
        <v>38681.802984073998</v>
      </c>
      <c r="N33" s="546"/>
      <c r="O33" s="178">
        <f t="shared" ref="O33:O39" si="8">IF(OR(G33="NA",D33="NA",E33="NA",F33="NA"),"NA",SUM(G33)-SUM(D33:F33))</f>
        <v>-7.2759576141834259E-12</v>
      </c>
      <c r="P33" s="179">
        <f t="shared" ref="P33:P39" si="9">IF(OR(L33="NA",G33="NA",H33="NA",I33="NA",J33="NA",K33="NA"),"NA",SUM(L33)-SUM(G33:K33))</f>
        <v>0</v>
      </c>
    </row>
    <row r="34" spans="1:16" ht="10.35" customHeight="1" x14ac:dyDescent="0.25">
      <c r="A34" s="549" t="s">
        <v>1102</v>
      </c>
      <c r="B34" s="550" t="s">
        <v>2762</v>
      </c>
      <c r="C34" s="532" t="s">
        <v>48</v>
      </c>
      <c r="D34" s="479">
        <f>+IF(ISBLANK(Table3!E31),"",Table3!E31)</f>
        <v>40259.537151074001</v>
      </c>
      <c r="E34" s="479">
        <f>+IF(ISBLANK(Table3!F31),"",Table3!F31)</f>
        <v>272.77400299999994</v>
      </c>
      <c r="F34" s="479">
        <f>+IF(ISBLANK(Table3!G31),"",Table3!G31)</f>
        <v>-1913.3820000000001</v>
      </c>
      <c r="G34" s="479">
        <f>+IF(ISBLANK(Table3!H31),"",Table3!H31)</f>
        <v>38618.929154073994</v>
      </c>
      <c r="H34" s="479">
        <f>+IF(ISBLANK(Table3!I31),"",Table3!I31)</f>
        <v>158.349377</v>
      </c>
      <c r="I34" s="479">
        <f>+IF(ISBLANK(Table3!J31),"",Table3!J31)</f>
        <v>3822.8358121719998</v>
      </c>
      <c r="J34" s="479">
        <f>+IF(ISBLANK(Table3!K31),"",Table3!K31)</f>
        <v>10260.102753020001</v>
      </c>
      <c r="K34" s="479">
        <f>+IF(ISBLANK(Table3!L31),"",Table3!L31)</f>
        <v>-844.96100000000001</v>
      </c>
      <c r="L34" s="479">
        <f>+IF(ISBLANK(Table3!M31),"",Table3!M31)</f>
        <v>52015.256096265999</v>
      </c>
      <c r="M34" s="479">
        <f>+IF(ISBLANK(Table3!N31),"",Table3!N31)</f>
        <v>38777.278531074</v>
      </c>
      <c r="N34" s="546"/>
      <c r="O34" s="178">
        <f t="shared" si="8"/>
        <v>-7.2759576141834259E-12</v>
      </c>
      <c r="P34" s="179">
        <f t="shared" si="9"/>
        <v>7.2759576141834259E-12</v>
      </c>
    </row>
    <row r="35" spans="1:16" ht="10.35" customHeight="1" x14ac:dyDescent="0.25">
      <c r="A35" s="549" t="s">
        <v>196</v>
      </c>
      <c r="B35" s="550" t="s">
        <v>2763</v>
      </c>
      <c r="C35" s="532" t="s">
        <v>48</v>
      </c>
      <c r="D35" s="479">
        <f>+IF(ISBLANK(Table3!E40),"",Table3!E40)</f>
        <v>-112.97269499999996</v>
      </c>
      <c r="E35" s="479">
        <f>+IF(ISBLANK(Table3!F40),"",Table3!F40)</f>
        <v>17.497147999999999</v>
      </c>
      <c r="F35" s="479">
        <f>+IF(ISBLANK(Table3!G40),"",Table3!G40)</f>
        <v>0</v>
      </c>
      <c r="G35" s="479">
        <f>+IF(ISBLANK(Table3!H40),"",Table3!H40)</f>
        <v>-95.475546999999978</v>
      </c>
      <c r="H35" s="479">
        <f>+IF(ISBLANK(Table3!I40),"",Table3!I40)</f>
        <v>0</v>
      </c>
      <c r="I35" s="479">
        <f>+IF(ISBLANK(Table3!J40),"",Table3!J40)</f>
        <v>-57.470853000000005</v>
      </c>
      <c r="J35" s="479">
        <f>+IF(ISBLANK(Table3!K40),"",Table3!K40)</f>
        <v>-9.0427050000000051</v>
      </c>
      <c r="K35" s="479">
        <f>+IF(ISBLANK(Table3!L40),"",Table3!L40)</f>
        <v>0</v>
      </c>
      <c r="L35" s="479">
        <f>+IF(ISBLANK(Table3!M40),"",Table3!M40)</f>
        <v>-161.98910500000005</v>
      </c>
      <c r="M35" s="479">
        <f>+IF(ISBLANK(Table3!N40),"",Table3!N40)</f>
        <v>-95.475546999999978</v>
      </c>
      <c r="N35" s="546"/>
      <c r="O35" s="178">
        <f t="shared" si="8"/>
        <v>-1.4210854715202004E-14</v>
      </c>
      <c r="P35" s="179">
        <f t="shared" si="9"/>
        <v>-5.6843418860808015E-14</v>
      </c>
    </row>
    <row r="36" spans="1:16" ht="15" customHeight="1" x14ac:dyDescent="0.25">
      <c r="A36" s="547" t="s">
        <v>1118</v>
      </c>
      <c r="B36" s="548" t="s">
        <v>2764</v>
      </c>
      <c r="C36" s="532" t="s">
        <v>48</v>
      </c>
      <c r="D36" s="498">
        <f>+IF(ISBLANK(Table3!E49),"",Table3!E49)</f>
        <v>73288.710000000006</v>
      </c>
      <c r="E36" s="498">
        <f>+IF(ISBLANK(Table3!F49),"",Table3!F49)</f>
        <v>339.41199999999998</v>
      </c>
      <c r="F36" s="498">
        <f>+IF(ISBLANK(Table3!G49),"",Table3!G49)</f>
        <v>-215.79</v>
      </c>
      <c r="G36" s="498">
        <f>+IF(ISBLANK(Table3!H49),"",Table3!H49)</f>
        <v>73412.332000000009</v>
      </c>
      <c r="H36" s="498">
        <f>+IF(ISBLANK(Table3!I49),"",Table3!I49)</f>
        <v>1181.3718879999999</v>
      </c>
      <c r="I36" s="498">
        <f>+IF(ISBLANK(Table3!J49),"",Table3!J49)</f>
        <v>4782.9508100000003</v>
      </c>
      <c r="J36" s="498">
        <f>+IF(ISBLANK(Table3!K49),"",Table3!K49)</f>
        <v>1267.5000239999999</v>
      </c>
      <c r="K36" s="498">
        <f>+IF(ISBLANK(Table3!L49),"",Table3!L49)</f>
        <v>0</v>
      </c>
      <c r="L36" s="498">
        <f>+IF(ISBLANK(Table3!M49),"",Table3!M49)</f>
        <v>80644.154721999992</v>
      </c>
      <c r="M36" s="498">
        <f>+IF(ISBLANK(Table3!N49),"",Table3!N49)</f>
        <v>74593.703887999989</v>
      </c>
      <c r="N36" s="546"/>
      <c r="O36" s="178">
        <f t="shared" si="8"/>
        <v>0</v>
      </c>
      <c r="P36" s="179">
        <f t="shared" si="9"/>
        <v>0</v>
      </c>
    </row>
    <row r="37" spans="1:16" ht="10.35" customHeight="1" x14ac:dyDescent="0.25">
      <c r="A37" s="549" t="s">
        <v>1132</v>
      </c>
      <c r="B37" s="550" t="s">
        <v>2765</v>
      </c>
      <c r="C37" s="532" t="s">
        <v>48</v>
      </c>
      <c r="D37" s="479">
        <f>+IF(ISBLANK(Table3!E63),"",Table3!E63)</f>
        <v>69100.629000000001</v>
      </c>
      <c r="E37" s="479">
        <f>+IF(ISBLANK(Table3!F63),"",Table3!F63)</f>
        <v>339.38799999999998</v>
      </c>
      <c r="F37" s="479">
        <f>+IF(ISBLANK(Table3!G63),"",Table3!G63)</f>
        <v>-215.79</v>
      </c>
      <c r="G37" s="479">
        <f>+IF(ISBLANK(Table3!H63),"",Table3!H63)</f>
        <v>69224.226999999999</v>
      </c>
      <c r="H37" s="479">
        <f>+IF(ISBLANK(Table3!I63),"",Table3!I63)</f>
        <v>1181.0898029999998</v>
      </c>
      <c r="I37" s="479">
        <f>+IF(ISBLANK(Table3!J63),"",Table3!J63)</f>
        <v>4783.2236810000004</v>
      </c>
      <c r="J37" s="479">
        <f>+IF(ISBLANK(Table3!K63),"",Table3!K63)</f>
        <v>1527.5019280000001</v>
      </c>
      <c r="K37" s="479">
        <f>+IF(ISBLANK(Table3!L63),"",Table3!L63)</f>
        <v>0</v>
      </c>
      <c r="L37" s="479">
        <f>+IF(ISBLANK(Table3!M63),"",Table3!M63)</f>
        <v>76716.042411999995</v>
      </c>
      <c r="M37" s="479">
        <f>+IF(ISBLANK(Table3!N63),"",Table3!N63)</f>
        <v>70405.316802999994</v>
      </c>
      <c r="N37" s="546"/>
      <c r="O37" s="178">
        <f t="shared" si="8"/>
        <v>-1.4551915228366852E-11</v>
      </c>
      <c r="P37" s="179">
        <f t="shared" si="9"/>
        <v>0</v>
      </c>
    </row>
    <row r="38" spans="1:16" ht="10.35" customHeight="1" x14ac:dyDescent="0.25">
      <c r="A38" s="536" t="s">
        <v>197</v>
      </c>
      <c r="B38" s="563" t="s">
        <v>2766</v>
      </c>
      <c r="C38" s="537" t="s">
        <v>48</v>
      </c>
      <c r="D38" s="502">
        <f>+IF(ISBLANK(Table3!E71),"",Table3!E71)</f>
        <v>4188.0809999999992</v>
      </c>
      <c r="E38" s="502">
        <f>+IF(ISBLANK(Table3!F71),"",Table3!F71)</f>
        <v>2.4E-2</v>
      </c>
      <c r="F38" s="502">
        <f>+IF(ISBLANK(Table3!G71),"",Table3!G71)</f>
        <v>0</v>
      </c>
      <c r="G38" s="502">
        <f>+IF(ISBLANK(Table3!H71),"",Table3!H71)</f>
        <v>4188.1049999999996</v>
      </c>
      <c r="H38" s="502">
        <f>+IF(ISBLANK(Table3!I71),"",Table3!I71)</f>
        <v>0.28208499999999997</v>
      </c>
      <c r="I38" s="502">
        <f>+IF(ISBLANK(Table3!J71),"",Table3!J71)</f>
        <v>-0.27287099999999853</v>
      </c>
      <c r="J38" s="502">
        <f>+IF(ISBLANK(Table3!K71),"",Table3!K71)</f>
        <v>-260.00190399999997</v>
      </c>
      <c r="K38" s="502">
        <f>+IF(ISBLANK(Table3!L71),"",Table3!L71)</f>
        <v>0</v>
      </c>
      <c r="L38" s="502">
        <f>+IF(ISBLANK(Table3!M71),"",Table3!M71)</f>
        <v>3928.11231</v>
      </c>
      <c r="M38" s="502">
        <f>+IF(ISBLANK(Table3!N71),"",Table3!N71)</f>
        <v>4188.3870850000003</v>
      </c>
      <c r="N38" s="546"/>
      <c r="O38" s="188">
        <f t="shared" si="8"/>
        <v>0</v>
      </c>
      <c r="P38" s="189">
        <f t="shared" si="9"/>
        <v>4.5474735088646412E-13</v>
      </c>
    </row>
    <row r="39" spans="1:16" ht="14.25" x14ac:dyDescent="0.25">
      <c r="A39" s="564" t="s">
        <v>275</v>
      </c>
      <c r="B39" s="565" t="s">
        <v>2767</v>
      </c>
      <c r="C39" s="566" t="s">
        <v>48</v>
      </c>
      <c r="D39" s="503">
        <f>IF(AND(D31="NP",D33="NP",D36="NP"),"NP",IF(OR(D31="NA",D33="NA",D36="NA"),"NA",IF(ISNUMBER(D31)*ISNUMBER(D33)*ISNUMBER(D36),-SUM(D31)+SUM(D33)-SUM(D36),"")))</f>
        <v>17346.754740073986</v>
      </c>
      <c r="E39" s="503">
        <f t="shared" ref="E39:M39" si="10">IF(AND(E31="NP",E33="NP",E36="NP"),"NP",IF(OR(E31="NA",E33="NA",E36="NA"),"NA",IF(ISNUMBER(E31)*ISNUMBER(E33)*ISNUMBER(E36),-SUM(E31)+SUM(E33)-SUM(E36),"")))</f>
        <v>-597.03621300000054</v>
      </c>
      <c r="F39" s="503">
        <f t="shared" si="10"/>
        <v>-1987.7907609999897</v>
      </c>
      <c r="G39" s="503">
        <f t="shared" si="10"/>
        <v>14761.893845073981</v>
      </c>
      <c r="H39" s="503">
        <f t="shared" si="10"/>
        <v>-1243.8785309999992</v>
      </c>
      <c r="I39" s="503">
        <f t="shared" si="10"/>
        <v>-2609.6430515678658</v>
      </c>
      <c r="J39" s="503">
        <f t="shared" si="10"/>
        <v>9759.2730090200021</v>
      </c>
      <c r="K39" s="503">
        <f t="shared" si="10"/>
        <v>-3935.6970120000087</v>
      </c>
      <c r="L39" s="503">
        <f t="shared" si="10"/>
        <v>16731.94825952618</v>
      </c>
      <c r="M39" s="503">
        <f t="shared" si="10"/>
        <v>13518.015314074</v>
      </c>
      <c r="N39" s="546"/>
      <c r="O39" s="186">
        <f t="shared" si="8"/>
        <v>-3.3921000016562175E-2</v>
      </c>
      <c r="P39" s="187">
        <f t="shared" si="9"/>
        <v>6.9121597334742546E-11</v>
      </c>
    </row>
    <row r="40" spans="1:16" ht="14.25" x14ac:dyDescent="0.25">
      <c r="A40" s="591" t="s">
        <v>990</v>
      </c>
      <c r="B40" s="568" t="s">
        <v>2768</v>
      </c>
      <c r="C40" s="546"/>
      <c r="D40" s="546"/>
      <c r="E40" s="546"/>
      <c r="F40" s="546"/>
      <c r="G40" s="546"/>
      <c r="H40" s="546"/>
      <c r="I40" s="546"/>
      <c r="J40" s="546"/>
      <c r="K40" s="546"/>
      <c r="L40" s="546"/>
      <c r="M40" s="546"/>
      <c r="N40" s="546"/>
      <c r="O40" s="178"/>
      <c r="P40" s="179"/>
    </row>
    <row r="41" spans="1:16" ht="10.35" customHeight="1" x14ac:dyDescent="0.25">
      <c r="A41" s="549" t="s">
        <v>642</v>
      </c>
      <c r="B41" s="550" t="s">
        <v>2769</v>
      </c>
      <c r="C41" s="532" t="s">
        <v>48</v>
      </c>
      <c r="D41" s="680">
        <f>IF(AND(D13="NP",D16="NP"),"NP",IF(OR(D16="NA",D16="NP"),IF(OR(D13="NA"),"NA",SUM(D13)),IF(OR(D13="NA",D16="NA"),"NA",IF(ISNUMBER(D13)*ISNUMBER(D16),SUM(D13)-SUM(D16),""))))</f>
        <v>210523.80203800002</v>
      </c>
      <c r="E41" s="680">
        <f t="shared" ref="E41:M41" si="11">IF(AND(E13="NP",E16="NP"),"NP",IF(OR(E16="NA",E16="NP"),IF(OR(E13="NA"),"NA",SUM(E13)),IF(OR(E13="NA",E16="NA"),"NA",IF(ISNUMBER(E13)*ISNUMBER(E16),SUM(E13)-SUM(E16),""))))</f>
        <v>4204.9317779999992</v>
      </c>
      <c r="F41" s="680">
        <f t="shared" si="11"/>
        <v>-3382.9422169999889</v>
      </c>
      <c r="G41" s="680">
        <f t="shared" si="11"/>
        <v>211345.79159899999</v>
      </c>
      <c r="H41" s="680">
        <f t="shared" si="11"/>
        <v>2736.9008049999998</v>
      </c>
      <c r="I41" s="680">
        <f t="shared" si="11"/>
        <v>25334.078692000003</v>
      </c>
      <c r="J41" s="680">
        <f t="shared" si="11"/>
        <v>55901.281374999999</v>
      </c>
      <c r="K41" s="680">
        <f t="shared" si="11"/>
        <v>-59207.460456000001</v>
      </c>
      <c r="L41" s="680">
        <f t="shared" si="11"/>
        <v>236110.592015</v>
      </c>
      <c r="M41" s="680">
        <f t="shared" si="11"/>
        <v>214082.692404</v>
      </c>
      <c r="N41" s="546"/>
      <c r="O41" s="178">
        <f>IF(OR(G41="NA",D41="NA",E41="NA",F41="NA"),"NA",SUM(G41)-SUM(D41:F41))</f>
        <v>-5.8207660913467407E-11</v>
      </c>
      <c r="P41" s="179">
        <f>IF(OR(L41="NA",G41="NA",H41="NA",I41="NA",J41="NA",K41="NA"),"NA",SUM(L41)-SUM(G41:K41))</f>
        <v>0</v>
      </c>
    </row>
    <row r="42" spans="1:16" ht="10.35" customHeight="1" x14ac:dyDescent="0.25">
      <c r="A42" s="549" t="s">
        <v>643</v>
      </c>
      <c r="B42" s="550" t="s">
        <v>2770</v>
      </c>
      <c r="C42" s="532" t="s">
        <v>48</v>
      </c>
      <c r="D42" s="479">
        <f>IF(AND(D25="NP",D16="NP"),"NP",IF(OR(D16="NA",D16="NP"),IF(OR(D25="NA"),"NA",SUM(D25)),IF(OR(D25="NA",D16="NA"),"NA",IF(ISNUMBER(D25)*ISNUMBER(D16),SUM(D25)+SUM(D16),""))))</f>
        <v>13404.991748</v>
      </c>
      <c r="E42" s="479">
        <f t="shared" ref="E42:M42" si="12">IF(AND(E25="NP",E16="NP"),"NP",IF(OR(E16="NA",E16="NP"),IF(OR(E25="NA"),"NA",SUM(E25)),IF(OR(E25="NA",E16="NA"),"NA",IF(ISNUMBER(E25)*ISNUMBER(E16),SUM(E25)+SUM(E16),""))))</f>
        <v>-50.110927000000018</v>
      </c>
      <c r="F42" s="479">
        <f t="shared" si="12"/>
        <v>0</v>
      </c>
      <c r="G42" s="479">
        <f t="shared" si="12"/>
        <v>13354.880820999999</v>
      </c>
      <c r="H42" s="479">
        <f t="shared" si="12"/>
        <v>533.76494099999991</v>
      </c>
      <c r="I42" s="479">
        <f t="shared" si="12"/>
        <v>3367.5055032601299</v>
      </c>
      <c r="J42" s="479">
        <f t="shared" si="12"/>
        <v>12587.227161999999</v>
      </c>
      <c r="K42" s="479">
        <f t="shared" si="12"/>
        <v>0</v>
      </c>
      <c r="L42" s="479">
        <f t="shared" si="12"/>
        <v>29843.378427260126</v>
      </c>
      <c r="M42" s="479">
        <f t="shared" si="12"/>
        <v>13888.645761999998</v>
      </c>
      <c r="N42" s="546"/>
      <c r="O42" s="178">
        <f>IF(OR(G42="NA",D42="NA",E42="NA",F42="NA"),"NA",SUM(G42)-SUM(D42:F42))</f>
        <v>-1.8189894035458565E-12</v>
      </c>
      <c r="P42" s="179">
        <f>IF(OR(L42="NA",G42="NA",H42="NA",I42="NA",J42="NA",K42="NA"),"NA",SUM(L42)-SUM(G42:K42))</f>
        <v>0</v>
      </c>
    </row>
    <row r="43" spans="1:16" ht="10.35" customHeight="1" x14ac:dyDescent="0.25">
      <c r="A43" s="549" t="s">
        <v>33</v>
      </c>
      <c r="B43" s="550" t="s">
        <v>2771</v>
      </c>
      <c r="C43" s="532" t="s">
        <v>48</v>
      </c>
      <c r="D43" s="479">
        <f>+IF(ISBLANK(Table3!E24),"",Table3!E24)</f>
        <v>9266.1172290000013</v>
      </c>
      <c r="E43" s="479">
        <f>+IF(ISBLANK(Table3!F24),"",Table3!F24)</f>
        <v>-78.120576</v>
      </c>
      <c r="F43" s="479">
        <f>+IF(ISBLANK(Table3!G24),"",Table3!G24)</f>
        <v>-135.16399999999999</v>
      </c>
      <c r="G43" s="479">
        <f>+IF(ISBLANK(Table3!H24),"",Table3!H24)</f>
        <v>9052.8326529999995</v>
      </c>
      <c r="H43" s="479">
        <f>+IF(ISBLANK(Table3!I24),"",Table3!I24)</f>
        <v>135.164095</v>
      </c>
      <c r="I43" s="479">
        <f>+IF(ISBLANK(Table3!J24),"",Table3!J24)</f>
        <v>84.366426000000004</v>
      </c>
      <c r="J43" s="479">
        <f>+IF(ISBLANK(Table3!K24),"",Table3!K24)</f>
        <v>2250.4630350000002</v>
      </c>
      <c r="K43" s="479">
        <f>+IF(ISBLANK(Table3!L24),"",Table3!L24)</f>
        <v>0</v>
      </c>
      <c r="L43" s="479">
        <f>+IF(ISBLANK(Table3!M24),"",Table3!M24)</f>
        <v>11522.826209000001</v>
      </c>
      <c r="M43" s="479">
        <f>+IF(ISBLANK(Table3!N24),"",Table3!N24)</f>
        <v>9187.9967479999996</v>
      </c>
      <c r="N43" s="546"/>
      <c r="O43" s="178">
        <f>IF(OR(G43="NA",D43="NA",E43="NA",F43="NA"),"NA",SUM(G43)-SUM(D43:F43))</f>
        <v>-1.8189894035458565E-12</v>
      </c>
      <c r="P43" s="179">
        <f>IF(OR(L43="NA",G43="NA",H43="NA",I43="NA",J43="NA",K43="NA"),"NA",SUM(L43)-SUM(G43:K43))</f>
        <v>0</v>
      </c>
    </row>
    <row r="44" spans="1:16" ht="10.35" customHeight="1" x14ac:dyDescent="0.25">
      <c r="A44" s="549" t="s">
        <v>2453</v>
      </c>
      <c r="B44" s="550" t="s">
        <v>2772</v>
      </c>
      <c r="C44" s="532" t="s">
        <v>48</v>
      </c>
      <c r="D44" s="479">
        <f>IF(AND(D31="NP",D17="NP"),"NP",IF(OR(D31="NA",D17="NA"),"NA",IF(ISNUMBER(D31)*ISNUMBER(D17),SUM(D31)+SUM(D17),"")))</f>
        <v>-26389.582162999992</v>
      </c>
      <c r="E44" s="479">
        <f t="shared" ref="E44:M44" si="13">IF(AND(E31="NP",E17="NP"),"NP",IF(OR(E31="NA",E17="NA"),"NA",IF(ISNUMBER(E31)*ISNUMBER(E17),SUM(E31)+SUM(E17),"")))</f>
        <v>556.70449200000041</v>
      </c>
      <c r="F44" s="479">
        <f t="shared" si="13"/>
        <v>290.19876099998964</v>
      </c>
      <c r="G44" s="479">
        <f t="shared" si="13"/>
        <v>-25542.644988999989</v>
      </c>
      <c r="H44" s="479">
        <f t="shared" si="13"/>
        <v>220.86070099999927</v>
      </c>
      <c r="I44" s="479">
        <f t="shared" si="13"/>
        <v>1975.1535157398655</v>
      </c>
      <c r="J44" s="479">
        <f t="shared" si="13"/>
        <v>-129.51014000000373</v>
      </c>
      <c r="K44" s="479">
        <f t="shared" si="13"/>
        <v>2731.9531620000075</v>
      </c>
      <c r="L44" s="479">
        <f t="shared" si="13"/>
        <v>-20744.187750260167</v>
      </c>
      <c r="M44" s="479">
        <f t="shared" si="13"/>
        <v>-25321.784287999988</v>
      </c>
      <c r="N44" s="546"/>
      <c r="O44" s="178">
        <f>IF(OR(G44="NA",D44="NA",E44="NA",F44="NA"),"NA",SUM(G44)-SUM(D44:F44))</f>
        <v>3.3921000012924196E-2</v>
      </c>
      <c r="P44" s="179">
        <f>IF(OR(L44="NA",G44="NA",H44="NA",I44="NA",J44="NA",K44="NA"),"NA",SUM(L44)-SUM(G44:K44))</f>
        <v>-4.7293724492192268E-11</v>
      </c>
    </row>
    <row r="45" spans="1:16" ht="10.35" customHeight="1" x14ac:dyDescent="0.25">
      <c r="A45" s="536" t="s">
        <v>378</v>
      </c>
      <c r="B45" s="563" t="s">
        <v>2773</v>
      </c>
      <c r="C45" s="537" t="s">
        <v>48</v>
      </c>
      <c r="D45" s="678"/>
      <c r="E45" s="502" t="str">
        <f>+IF(ISBLANK(StatementII!F43),"",StatementII!F43)</f>
        <v/>
      </c>
      <c r="F45" s="502" t="str">
        <f>+IF(ISBLANK(StatementII!G43),"",StatementII!G43)</f>
        <v/>
      </c>
      <c r="G45" s="502" t="str">
        <f>+IF(ISBLANK(StatementII!H43),"",StatementII!H43)</f>
        <v/>
      </c>
      <c r="H45" s="502" t="str">
        <f>+IF(ISBLANK(StatementII!I43),"",StatementII!I43)</f>
        <v/>
      </c>
      <c r="I45" s="502" t="str">
        <f>+IF(ISBLANK(StatementII!J43),"",StatementII!J43)</f>
        <v/>
      </c>
      <c r="J45" s="502" t="str">
        <f>+IF(ISBLANK(StatementII!K43),"",StatementII!K43)</f>
        <v/>
      </c>
      <c r="K45" s="502" t="str">
        <f>+IF(ISBLANK(StatementII!L43),"",StatementII!L43)</f>
        <v/>
      </c>
      <c r="L45" s="502" t="str">
        <f>+IF(ISBLANK(StatementII!M43),"",StatementII!M43)</f>
        <v/>
      </c>
      <c r="M45" s="502" t="str">
        <f>+IF(ISBLANK(StatementII!N43),"",StatementII!N43)</f>
        <v/>
      </c>
      <c r="N45" s="546"/>
      <c r="O45" s="188">
        <f>IF(OR(G45="NA",D45="NA",E45="NA",F45="NA"),"NA",SUM(G45)-SUM(D45:F45))</f>
        <v>0</v>
      </c>
      <c r="P45" s="189">
        <f>IF(OR(L45="NA",G45="NA",H45="NA",I45="NA",J45="NA",K45="NA"),"NA",SUM(L45)-SUM(G45:K45))</f>
        <v>0</v>
      </c>
    </row>
    <row r="46" spans="1:16" s="225" customFormat="1" ht="10.5" customHeight="1" x14ac:dyDescent="0.55000000000000004">
      <c r="A46" s="569"/>
      <c r="B46" s="570"/>
      <c r="C46" s="570"/>
      <c r="D46" s="571"/>
      <c r="E46" s="571"/>
      <c r="F46" s="571"/>
      <c r="G46" s="571"/>
      <c r="H46" s="571"/>
      <c r="I46" s="571"/>
      <c r="J46" s="571"/>
      <c r="K46" s="571"/>
      <c r="L46" s="571"/>
      <c r="M46" s="571"/>
      <c r="N46" s="571"/>
      <c r="O46" s="224"/>
      <c r="P46" s="224"/>
    </row>
    <row r="47" spans="1:16" s="230" customFormat="1" ht="15" customHeight="1" x14ac:dyDescent="0.15">
      <c r="A47" s="696" t="s">
        <v>2774</v>
      </c>
      <c r="B47" s="226"/>
      <c r="C47" s="226"/>
      <c r="D47" s="227"/>
      <c r="E47" s="227"/>
      <c r="F47" s="227"/>
      <c r="G47" s="227"/>
      <c r="H47" s="227"/>
      <c r="I47" s="227"/>
      <c r="J47" s="227"/>
      <c r="K47" s="227"/>
      <c r="L47" s="227"/>
      <c r="M47" s="228"/>
      <c r="N47" s="229"/>
      <c r="O47" s="229"/>
      <c r="P47" s="229"/>
    </row>
    <row r="48" spans="1:16" s="103" customFormat="1" ht="10.9" customHeight="1" x14ac:dyDescent="0.15">
      <c r="A48" s="697" t="s">
        <v>2775</v>
      </c>
      <c r="D48" s="231"/>
      <c r="E48" s="231"/>
      <c r="F48" s="231"/>
      <c r="G48" s="231"/>
      <c r="H48" s="231"/>
      <c r="I48" s="231"/>
      <c r="J48" s="231"/>
      <c r="K48" s="231"/>
      <c r="L48" s="231"/>
      <c r="M48" s="231"/>
      <c r="N48" s="191"/>
      <c r="O48" s="191"/>
      <c r="P48" s="191"/>
    </row>
    <row r="49" spans="1:16" s="103" customFormat="1" ht="10.9" customHeight="1" x14ac:dyDescent="0.15">
      <c r="A49" s="190"/>
      <c r="B49" s="136" t="s">
        <v>708</v>
      </c>
      <c r="D49" s="232">
        <f t="shared" ref="D49:M49" si="14">IF(OR(D22="NA",D8="NA",D16="NA",D13="NA"),"NA",-SUM(D22)+SUM(D8)+SUM(D16)-SUM(D13))</f>
        <v>0</v>
      </c>
      <c r="E49" s="232">
        <f t="shared" si="14"/>
        <v>0</v>
      </c>
      <c r="F49" s="232">
        <f t="shared" si="14"/>
        <v>0</v>
      </c>
      <c r="G49" s="232">
        <f t="shared" si="14"/>
        <v>0</v>
      </c>
      <c r="H49" s="232">
        <f t="shared" si="14"/>
        <v>0</v>
      </c>
      <c r="I49" s="232">
        <f t="shared" si="14"/>
        <v>0</v>
      </c>
      <c r="J49" s="232">
        <f t="shared" si="14"/>
        <v>0</v>
      </c>
      <c r="K49" s="232">
        <f t="shared" si="14"/>
        <v>0</v>
      </c>
      <c r="L49" s="232">
        <f t="shared" si="14"/>
        <v>0</v>
      </c>
      <c r="M49" s="232">
        <f t="shared" si="14"/>
        <v>-2.9103830456733704E-11</v>
      </c>
      <c r="N49" s="191"/>
      <c r="O49" s="191"/>
      <c r="P49" s="191"/>
    </row>
    <row r="50" spans="1:16" s="103" customFormat="1" ht="10.9" customHeight="1" x14ac:dyDescent="0.15">
      <c r="A50" s="190"/>
      <c r="B50" s="136" t="s">
        <v>709</v>
      </c>
      <c r="D50" s="232">
        <f t="shared" ref="D50:M50" si="15">IF(OR(D23="NA",D8="NA",D13="NA"),"NA",-SUM(D23)+SUM(D8)-SUM(D13))</f>
        <v>0</v>
      </c>
      <c r="E50" s="232">
        <f t="shared" si="15"/>
        <v>0</v>
      </c>
      <c r="F50" s="232">
        <f t="shared" si="15"/>
        <v>0</v>
      </c>
      <c r="G50" s="232">
        <f t="shared" si="15"/>
        <v>0</v>
      </c>
      <c r="H50" s="232">
        <f t="shared" si="15"/>
        <v>0</v>
      </c>
      <c r="I50" s="232">
        <f t="shared" si="15"/>
        <v>0</v>
      </c>
      <c r="J50" s="232">
        <f t="shared" si="15"/>
        <v>0</v>
      </c>
      <c r="K50" s="232">
        <f t="shared" si="15"/>
        <v>0</v>
      </c>
      <c r="L50" s="232">
        <f t="shared" si="15"/>
        <v>0</v>
      </c>
      <c r="M50" s="232">
        <f t="shared" si="15"/>
        <v>0</v>
      </c>
      <c r="N50" s="191"/>
      <c r="O50" s="191"/>
      <c r="P50" s="191"/>
    </row>
    <row r="51" spans="1:16" s="103" customFormat="1" ht="10.9" customHeight="1" x14ac:dyDescent="0.15">
      <c r="A51" s="190"/>
      <c r="B51" s="136" t="s">
        <v>710</v>
      </c>
      <c r="D51" s="232">
        <f t="shared" ref="D51:M51" si="16">IF(OR(D31="NA",D8="NA",D13="NA",D25="NA"),"NA",-SUM(D31)+SUM(D8)-SUM(D13)-SUM(D25))</f>
        <v>-1.4551915228366852E-11</v>
      </c>
      <c r="E51" s="232">
        <f t="shared" si="16"/>
        <v>-5.1159076974727213E-13</v>
      </c>
      <c r="F51" s="232">
        <f t="shared" si="16"/>
        <v>0</v>
      </c>
      <c r="G51" s="232">
        <f t="shared" si="16"/>
        <v>-7.2759576141834259E-12</v>
      </c>
      <c r="H51" s="232">
        <f t="shared" si="16"/>
        <v>0</v>
      </c>
      <c r="I51" s="232">
        <f t="shared" si="16"/>
        <v>-4.5474735088646412E-13</v>
      </c>
      <c r="J51" s="232">
        <f t="shared" si="16"/>
        <v>1.8189894035458565E-12</v>
      </c>
      <c r="K51" s="232">
        <f t="shared" si="16"/>
        <v>0</v>
      </c>
      <c r="L51" s="232">
        <f t="shared" si="16"/>
        <v>1.0913936421275139E-11</v>
      </c>
      <c r="M51" s="232">
        <f t="shared" si="16"/>
        <v>-1.6370904631912708E-11</v>
      </c>
      <c r="N51" s="191"/>
      <c r="O51" s="191"/>
      <c r="P51" s="191"/>
    </row>
    <row r="52" spans="1:16" s="103" customFormat="1" ht="10.9" customHeight="1" x14ac:dyDescent="0.15">
      <c r="A52" s="190"/>
      <c r="B52" s="136" t="s">
        <v>711</v>
      </c>
      <c r="D52" s="232">
        <f t="shared" ref="D52:M52" si="17">IF(OR(D31="NA",D8="NA",D30="NA"),"NA",-SUM(D31)+SUM(D8)-SUM(D30))</f>
        <v>0</v>
      </c>
      <c r="E52" s="232">
        <f t="shared" si="17"/>
        <v>-9.0949470177292824E-13</v>
      </c>
      <c r="F52" s="232">
        <f t="shared" si="17"/>
        <v>0</v>
      </c>
      <c r="G52" s="232">
        <f t="shared" si="17"/>
        <v>0</v>
      </c>
      <c r="H52" s="232">
        <f t="shared" si="17"/>
        <v>0</v>
      </c>
      <c r="I52" s="232">
        <f t="shared" si="17"/>
        <v>0</v>
      </c>
      <c r="J52" s="232">
        <f t="shared" si="17"/>
        <v>0</v>
      </c>
      <c r="K52" s="232">
        <f t="shared" si="17"/>
        <v>0</v>
      </c>
      <c r="L52" s="232">
        <f t="shared" si="17"/>
        <v>0</v>
      </c>
      <c r="M52" s="232">
        <f t="shared" si="17"/>
        <v>-2.9103830456733704E-11</v>
      </c>
      <c r="N52" s="191"/>
      <c r="O52" s="191"/>
      <c r="P52" s="191"/>
    </row>
    <row r="53" spans="1:16" s="103" customFormat="1" ht="10.9" customHeight="1" x14ac:dyDescent="0.15">
      <c r="A53" s="190"/>
      <c r="B53" s="103" t="s">
        <v>2627</v>
      </c>
      <c r="D53" s="232">
        <f t="shared" ref="D53:M53" si="18">IF(OR(D13="NA",D8="NA",D36="NA",D39="NA",D25="NA",D33="NA"),"NA",-SUM(D13)+SUM(D8)+SUM(D36)+SUM(D39)-SUM(D25)-SUM(D33))</f>
        <v>0</v>
      </c>
      <c r="E53" s="232">
        <f t="shared" si="18"/>
        <v>-5.6843418860808015E-14</v>
      </c>
      <c r="F53" s="232">
        <f t="shared" si="18"/>
        <v>0</v>
      </c>
      <c r="G53" s="232">
        <f t="shared" si="18"/>
        <v>7.2759576141834259E-12</v>
      </c>
      <c r="H53" s="232">
        <f t="shared" si="18"/>
        <v>0</v>
      </c>
      <c r="I53" s="232">
        <f t="shared" si="18"/>
        <v>0</v>
      </c>
      <c r="J53" s="232">
        <f t="shared" si="18"/>
        <v>0</v>
      </c>
      <c r="K53" s="232">
        <f t="shared" si="18"/>
        <v>-2.2737367544323206E-13</v>
      </c>
      <c r="L53" s="232">
        <f t="shared" si="18"/>
        <v>7.2759576141834259E-12</v>
      </c>
      <c r="M53" s="232">
        <f t="shared" si="18"/>
        <v>7.2759576141834259E-12</v>
      </c>
      <c r="N53" s="191"/>
      <c r="O53" s="191"/>
      <c r="P53" s="191"/>
    </row>
    <row r="54" spans="1:16" s="103" customFormat="1" ht="10.9" customHeight="1" x14ac:dyDescent="0.15">
      <c r="A54" s="233"/>
      <c r="B54" s="76" t="s">
        <v>2628</v>
      </c>
      <c r="C54" s="76"/>
      <c r="D54" s="232">
        <f t="shared" ref="D54:M54" si="19">IF(OR(D30="NA",D8="NA",D36="NA",D39="NA",D33="NA"),"NA",-SUM(D30)+SUM(D8)+SUM(D36)+SUM(D39)-SUM(D33))</f>
        <v>1.4551915228366852E-11</v>
      </c>
      <c r="E54" s="232">
        <f t="shared" si="19"/>
        <v>-4.5474735088646412E-13</v>
      </c>
      <c r="F54" s="232">
        <f t="shared" si="19"/>
        <v>0</v>
      </c>
      <c r="G54" s="232">
        <f t="shared" si="19"/>
        <v>1.4551915228366852E-11</v>
      </c>
      <c r="H54" s="232">
        <f t="shared" si="19"/>
        <v>0</v>
      </c>
      <c r="I54" s="232">
        <f t="shared" si="19"/>
        <v>4.5474735088646412E-13</v>
      </c>
      <c r="J54" s="232">
        <f t="shared" si="19"/>
        <v>-1.8189894035458565E-12</v>
      </c>
      <c r="K54" s="232">
        <f t="shared" si="19"/>
        <v>-2.2737367544323206E-13</v>
      </c>
      <c r="L54" s="232">
        <f t="shared" si="19"/>
        <v>-7.2759576141834259E-12</v>
      </c>
      <c r="M54" s="232">
        <f t="shared" si="19"/>
        <v>-7.2759576141834259E-12</v>
      </c>
      <c r="N54" s="191"/>
      <c r="O54" s="191"/>
      <c r="P54" s="191"/>
    </row>
    <row r="55" spans="1:16" s="207" customFormat="1" ht="10.5" customHeight="1" x14ac:dyDescent="0.15">
      <c r="A55" s="211"/>
      <c r="B55" s="208" t="s">
        <v>724</v>
      </c>
      <c r="C55" s="208"/>
      <c r="D55" s="206">
        <f t="shared" ref="D55:M55" si="20">IF(OR(D44="NA",D31="NA",D17="NA"),"NA",-SUM(D44)+SUM(D31)+SUM(D17))</f>
        <v>0</v>
      </c>
      <c r="E55" s="206">
        <f t="shared" si="20"/>
        <v>1.4210854715202004E-14</v>
      </c>
      <c r="F55" s="206">
        <f t="shared" si="20"/>
        <v>0</v>
      </c>
      <c r="G55" s="206">
        <f t="shared" si="20"/>
        <v>0</v>
      </c>
      <c r="H55" s="206">
        <f t="shared" si="20"/>
        <v>-5.0419737829265898E-15</v>
      </c>
      <c r="I55" s="206">
        <f t="shared" si="20"/>
        <v>-5.6843418860808015E-14</v>
      </c>
      <c r="J55" s="206">
        <f t="shared" si="20"/>
        <v>0</v>
      </c>
      <c r="K55" s="206">
        <f t="shared" si="20"/>
        <v>-1.1368683772161603E-13</v>
      </c>
      <c r="L55" s="206">
        <f t="shared" si="20"/>
        <v>0</v>
      </c>
      <c r="M55" s="206">
        <f t="shared" si="20"/>
        <v>0</v>
      </c>
      <c r="N55" s="234"/>
      <c r="O55" s="234"/>
      <c r="P55" s="234"/>
    </row>
    <row r="56" spans="1:16" s="103" customFormat="1" ht="10.9" customHeight="1" x14ac:dyDescent="0.15">
      <c r="A56" s="697" t="s">
        <v>2776</v>
      </c>
      <c r="D56" s="212"/>
      <c r="E56" s="212"/>
      <c r="F56" s="212"/>
      <c r="G56" s="212"/>
      <c r="H56" s="212"/>
      <c r="I56" s="212"/>
      <c r="J56" s="212"/>
      <c r="K56" s="212"/>
      <c r="L56" s="212"/>
      <c r="M56" s="212"/>
      <c r="N56" s="191"/>
      <c r="O56" s="191"/>
      <c r="P56" s="191"/>
    </row>
    <row r="57" spans="1:16" s="103" customFormat="1" ht="10.9" customHeight="1" x14ac:dyDescent="0.15">
      <c r="A57" s="190"/>
      <c r="B57" s="103" t="s">
        <v>712</v>
      </c>
      <c r="D57" s="232">
        <f t="shared" ref="D57:M57" si="21">IF(OR(D8="NA",D9="NA",D10="NA",D11="NA",D12="NA"),"NA",-SUM(D8)+SUM(D9)+SUM(D10)+SUM(D11)+SUM(D12))</f>
        <v>0</v>
      </c>
      <c r="E57" s="232">
        <f t="shared" si="21"/>
        <v>-2.2737367544323206E-13</v>
      </c>
      <c r="F57" s="232">
        <f t="shared" si="21"/>
        <v>1.1368683772161603E-13</v>
      </c>
      <c r="G57" s="232">
        <f t="shared" si="21"/>
        <v>0</v>
      </c>
      <c r="H57" s="232">
        <f t="shared" si="21"/>
        <v>4.5474735088646412E-13</v>
      </c>
      <c r="I57" s="232">
        <f t="shared" si="21"/>
        <v>4.5474735088646412E-12</v>
      </c>
      <c r="J57" s="232">
        <f t="shared" si="21"/>
        <v>5.4569682106375694E-12</v>
      </c>
      <c r="K57" s="232">
        <f t="shared" si="21"/>
        <v>0</v>
      </c>
      <c r="L57" s="232">
        <f t="shared" si="21"/>
        <v>1.4551915228366852E-11</v>
      </c>
      <c r="M57" s="232">
        <f t="shared" si="21"/>
        <v>0</v>
      </c>
      <c r="N57" s="191"/>
      <c r="O57" s="191"/>
      <c r="P57" s="191"/>
    </row>
    <row r="58" spans="1:16" s="103" customFormat="1" ht="10.9" customHeight="1" x14ac:dyDescent="0.15">
      <c r="A58" s="190"/>
      <c r="B58" s="103" t="s">
        <v>713</v>
      </c>
      <c r="D58" s="232">
        <f t="shared" ref="D58:M58" si="22">IF(OR(D13="NA",D14="NA",D15="NA",D16="NA",D17="NA",D18="NA",D19="NA",D20="NA",D21="NA"),"NA",-SUM(D13)+SUM(D14)+SUM(D15)+SUM(D16)+SUM(D17)+SUM(D18)+SUM(D19)+SUM(D20)+SUM(D21))</f>
        <v>-1.4551915228366852E-11</v>
      </c>
      <c r="E58" s="232">
        <f t="shared" si="22"/>
        <v>6.2527760746888816E-13</v>
      </c>
      <c r="F58" s="232">
        <f t="shared" si="22"/>
        <v>0</v>
      </c>
      <c r="G58" s="232">
        <f t="shared" si="22"/>
        <v>2.1827872842550278E-11</v>
      </c>
      <c r="H58" s="232">
        <f t="shared" si="22"/>
        <v>2.2737367544323206E-13</v>
      </c>
      <c r="I58" s="232">
        <f t="shared" si="22"/>
        <v>-9.0949470177292824E-13</v>
      </c>
      <c r="J58" s="232">
        <f t="shared" si="22"/>
        <v>-7.2759576141834259E-12</v>
      </c>
      <c r="K58" s="232">
        <f t="shared" si="22"/>
        <v>-3.637978807091713E-12</v>
      </c>
      <c r="L58" s="232">
        <f t="shared" si="22"/>
        <v>-3.637978807091713E-11</v>
      </c>
      <c r="M58" s="232">
        <f t="shared" si="22"/>
        <v>-2.9103830456733704E-11</v>
      </c>
      <c r="N58" s="191"/>
      <c r="O58" s="191"/>
      <c r="P58" s="191"/>
    </row>
    <row r="59" spans="1:16" s="103" customFormat="1" ht="10.9" customHeight="1" x14ac:dyDescent="0.15">
      <c r="A59" s="190"/>
      <c r="B59" s="103" t="s">
        <v>714</v>
      </c>
      <c r="D59" s="232">
        <f t="shared" ref="D59:M59" si="23">IF(OR(D25="NA",D26="NA",D27="NA",D28="NA",D29="NA"),"NA",-SUM(D25)+SUM(D26)+SUM(D27)+SUM(D28)+SUM(D29))</f>
        <v>-9.0949470177292824E-13</v>
      </c>
      <c r="E59" s="232">
        <f t="shared" si="23"/>
        <v>0</v>
      </c>
      <c r="F59" s="232">
        <f t="shared" si="23"/>
        <v>0</v>
      </c>
      <c r="G59" s="232">
        <f t="shared" si="23"/>
        <v>0</v>
      </c>
      <c r="H59" s="232">
        <f t="shared" si="23"/>
        <v>-1.9539925233402755E-14</v>
      </c>
      <c r="I59" s="232">
        <f t="shared" si="23"/>
        <v>1.1368683772161603E-13</v>
      </c>
      <c r="J59" s="232">
        <f t="shared" si="23"/>
        <v>-2.4158453015843406E-13</v>
      </c>
      <c r="K59" s="232">
        <f t="shared" si="23"/>
        <v>0</v>
      </c>
      <c r="L59" s="232">
        <f t="shared" si="23"/>
        <v>-6.8212102632969618E-13</v>
      </c>
      <c r="M59" s="232">
        <f t="shared" si="23"/>
        <v>-2.2737367544323206E-13</v>
      </c>
      <c r="N59" s="191"/>
      <c r="O59" s="191"/>
      <c r="P59" s="191"/>
    </row>
    <row r="60" spans="1:16" s="103" customFormat="1" ht="10.9" customHeight="1" x14ac:dyDescent="0.15">
      <c r="A60" s="190"/>
      <c r="B60" s="103" t="s">
        <v>715</v>
      </c>
      <c r="D60" s="232">
        <f t="shared" ref="D60:M60" si="24">IF(OR(D33="NA",D34="NA",D35="NA"),"NA",-SUM(D33)+SUM(D34)+SUM(D35))</f>
        <v>-3.2116531656356528E-12</v>
      </c>
      <c r="E60" s="232">
        <f t="shared" si="24"/>
        <v>1.7763568394002505E-14</v>
      </c>
      <c r="F60" s="232">
        <f t="shared" si="24"/>
        <v>0</v>
      </c>
      <c r="G60" s="232">
        <f t="shared" si="24"/>
        <v>-5.4285465012071654E-12</v>
      </c>
      <c r="H60" s="232">
        <f t="shared" si="24"/>
        <v>0</v>
      </c>
      <c r="I60" s="232">
        <f t="shared" si="24"/>
        <v>-1.9895196601282805E-13</v>
      </c>
      <c r="J60" s="232">
        <f t="shared" si="24"/>
        <v>1.6555645743210334E-12</v>
      </c>
      <c r="K60" s="232">
        <f t="shared" si="24"/>
        <v>0</v>
      </c>
      <c r="L60" s="232">
        <f t="shared" si="24"/>
        <v>5.1159076974727213E-13</v>
      </c>
      <c r="M60" s="232">
        <f t="shared" si="24"/>
        <v>1.8474111129762605E-12</v>
      </c>
      <c r="N60" s="191"/>
      <c r="O60" s="191"/>
      <c r="P60" s="191"/>
    </row>
    <row r="61" spans="1:16" s="103" customFormat="1" ht="10.9" customHeight="1" x14ac:dyDescent="0.15">
      <c r="A61" s="233"/>
      <c r="B61" s="76" t="s">
        <v>716</v>
      </c>
      <c r="C61" s="76"/>
      <c r="D61" s="232">
        <f t="shared" ref="D61:M61" si="25">IF(OR(D36="NA",D37="NA",D38="NA"),"NA",-SUM(D36)+SUM(D37)+SUM(D38))</f>
        <v>-6.3664629124104977E-12</v>
      </c>
      <c r="E61" s="232">
        <f t="shared" si="25"/>
        <v>-9.0899510141184692E-16</v>
      </c>
      <c r="F61" s="232">
        <f t="shared" si="25"/>
        <v>0</v>
      </c>
      <c r="G61" s="232">
        <f t="shared" si="25"/>
        <v>-1.0913936421275139E-11</v>
      </c>
      <c r="H61" s="232">
        <f t="shared" si="25"/>
        <v>-5.1902926401226068E-14</v>
      </c>
      <c r="I61" s="232">
        <f t="shared" si="25"/>
        <v>1.2434497875801753E-13</v>
      </c>
      <c r="J61" s="232">
        <f t="shared" si="25"/>
        <v>2.2737367544323206E-13</v>
      </c>
      <c r="K61" s="232">
        <f t="shared" si="25"/>
        <v>0</v>
      </c>
      <c r="L61" s="232">
        <f t="shared" si="25"/>
        <v>3.1832314562052488E-12</v>
      </c>
      <c r="M61" s="232">
        <f t="shared" si="25"/>
        <v>5.4569682106375694E-12</v>
      </c>
      <c r="N61" s="191"/>
      <c r="O61" s="191"/>
      <c r="P61" s="191"/>
    </row>
    <row r="62" spans="1:16" s="103" customFormat="1" ht="10.9" customHeight="1" x14ac:dyDescent="0.15">
      <c r="A62" s="697" t="s">
        <v>2777</v>
      </c>
      <c r="D62" s="212"/>
      <c r="E62" s="212"/>
      <c r="F62" s="212"/>
      <c r="G62" s="212"/>
      <c r="H62" s="212"/>
      <c r="I62" s="212"/>
      <c r="J62" s="212"/>
      <c r="K62" s="212"/>
      <c r="L62" s="212"/>
      <c r="M62" s="212"/>
      <c r="N62" s="191"/>
      <c r="O62" s="191"/>
      <c r="P62" s="191"/>
    </row>
    <row r="63" spans="1:16" s="103" customFormat="1" ht="10.9" customHeight="1" x14ac:dyDescent="0.15">
      <c r="A63" s="200"/>
      <c r="B63" s="698" t="s">
        <v>2778</v>
      </c>
      <c r="D63" s="212"/>
      <c r="E63" s="212"/>
      <c r="F63" s="212"/>
      <c r="G63" s="212"/>
      <c r="H63" s="212"/>
      <c r="I63" s="212"/>
      <c r="J63" s="212"/>
      <c r="K63" s="212"/>
      <c r="L63" s="212"/>
      <c r="M63" s="212"/>
      <c r="N63" s="191"/>
      <c r="O63" s="191"/>
      <c r="P63" s="191"/>
    </row>
    <row r="64" spans="1:16" s="103" customFormat="1" ht="10.9" customHeight="1" x14ac:dyDescent="0.15">
      <c r="A64" s="190"/>
      <c r="B64" s="214" t="s">
        <v>3486</v>
      </c>
      <c r="D64" s="215"/>
      <c r="E64" s="215"/>
      <c r="F64" s="232" t="str">
        <f>IF(OR(F22="NA"),"NA",IF(ROUND(SUM(F22),1)=0,"Si","Vérificar!"))</f>
        <v>Vérificar!</v>
      </c>
      <c r="G64" s="215"/>
      <c r="H64" s="215"/>
      <c r="I64" s="215"/>
      <c r="J64" s="215"/>
      <c r="K64" s="232" t="str">
        <f>IF(OR(K22="NA"),"NA",IF(ROUND(SUM(K22),1)=0,"Si","Vérificar!"))</f>
        <v>Vérificar!</v>
      </c>
      <c r="L64" s="215"/>
      <c r="M64" s="215"/>
      <c r="N64" s="191"/>
      <c r="O64" s="191"/>
      <c r="P64" s="191"/>
    </row>
    <row r="65" spans="1:16" s="103" customFormat="1" ht="10.9" customHeight="1" x14ac:dyDescent="0.15">
      <c r="A65" s="190"/>
      <c r="B65" s="214" t="s">
        <v>3487</v>
      </c>
      <c r="D65" s="215"/>
      <c r="E65" s="215"/>
      <c r="F65" s="232" t="str">
        <f>IF(OR(F23="NA"),"NA",IF(ROUND(SUM(F23),1)=0,"Si","Vérificar!"))</f>
        <v>Vérificar!</v>
      </c>
      <c r="G65" s="215"/>
      <c r="H65" s="215"/>
      <c r="I65" s="215"/>
      <c r="J65" s="215"/>
      <c r="K65" s="232" t="str">
        <f>IF(OR(K23="NA"),"NA",IF(ROUND(SUM(K23),1)=0,"Si","Vérificar!"))</f>
        <v>Vérificar!</v>
      </c>
      <c r="L65" s="215"/>
      <c r="M65" s="215"/>
      <c r="N65" s="191"/>
      <c r="O65" s="191"/>
      <c r="P65" s="191"/>
    </row>
    <row r="66" spans="1:16" s="103" customFormat="1" ht="10.9" customHeight="1" x14ac:dyDescent="0.15">
      <c r="A66" s="190"/>
      <c r="B66" s="214" t="s">
        <v>3084</v>
      </c>
      <c r="D66" s="215"/>
      <c r="E66" s="215"/>
      <c r="F66" s="232" t="str">
        <f>IF(OR(F25="NA"),"NA",IF(ROUND(SUM(F25),1)=0,"Si","Vérificar!"))</f>
        <v>Si</v>
      </c>
      <c r="G66" s="215"/>
      <c r="H66" s="215"/>
      <c r="I66" s="215"/>
      <c r="J66" s="215"/>
      <c r="K66" s="232" t="str">
        <f>IF(OR(K25="NA"),"NA",IF(ROUND(SUM(K25),1)=0,"Si","Vérificar!"))</f>
        <v>Si</v>
      </c>
      <c r="L66" s="215"/>
      <c r="M66" s="215"/>
      <c r="N66" s="191"/>
      <c r="O66" s="191"/>
      <c r="P66" s="191"/>
    </row>
    <row r="67" spans="1:16" s="103" customFormat="1" ht="10.9" customHeight="1" x14ac:dyDescent="0.15">
      <c r="A67" s="190"/>
      <c r="B67" s="214" t="s">
        <v>3488</v>
      </c>
      <c r="D67" s="215"/>
      <c r="E67" s="215"/>
      <c r="F67" s="232" t="str">
        <f>IF(OR(F31="NA"),"NA",IF(ROUND(SUM(F31),1)=0,"Si","Vérificar!"))</f>
        <v>Vérificar!</v>
      </c>
      <c r="G67" s="215"/>
      <c r="H67" s="215"/>
      <c r="I67" s="215"/>
      <c r="J67" s="215"/>
      <c r="K67" s="232" t="str">
        <f>IF(OR(K31="NA"),"NA",IF(ROUND(SUM(K31),1)=0,"Si","Vérificar!"))</f>
        <v>Vérificar!</v>
      </c>
      <c r="L67" s="215"/>
      <c r="M67" s="215"/>
      <c r="N67" s="191"/>
      <c r="O67" s="191"/>
      <c r="P67" s="191"/>
    </row>
    <row r="68" spans="1:16" s="103" customFormat="1" ht="10.9" customHeight="1" x14ac:dyDescent="0.15">
      <c r="A68" s="217"/>
      <c r="B68" s="137" t="s">
        <v>3085</v>
      </c>
      <c r="C68" s="77"/>
      <c r="D68" s="451"/>
      <c r="E68" s="451"/>
      <c r="F68" s="452" t="str">
        <f>IF(OR(F33="NA",F36="NA"),"NA",IF(ROUND(SUM(F33)-SUM(F36),1)=0,"Si","Vérificar!"))</f>
        <v>Vérificar!</v>
      </c>
      <c r="G68" s="451"/>
      <c r="H68" s="451"/>
      <c r="I68" s="451"/>
      <c r="J68" s="451"/>
      <c r="K68" s="452" t="str">
        <f>IF(OR(K33="NA",K36="NA"),"NA",IF(ROUND(SUM(K33)-SUM(K36),1)=0,"Si","Vérificar!"))</f>
        <v>Vérificar!</v>
      </c>
      <c r="L68" s="451"/>
      <c r="M68" s="451"/>
      <c r="N68" s="191"/>
      <c r="O68" s="191"/>
      <c r="P68" s="191"/>
    </row>
    <row r="69" spans="1:16" s="103" customFormat="1" ht="11.65" customHeight="1" x14ac:dyDescent="0.15">
      <c r="A69" s="190"/>
    </row>
    <row r="70" spans="1:16" s="103" customFormat="1" ht="11.65" customHeight="1" x14ac:dyDescent="0.15">
      <c r="A70" s="190"/>
    </row>
    <row r="71" spans="1:16" s="103" customFormat="1" ht="11.65" customHeight="1" x14ac:dyDescent="0.15">
      <c r="A71" s="190"/>
    </row>
    <row r="72" spans="1:16" s="103" customFormat="1" ht="11.65" customHeight="1" x14ac:dyDescent="0.15">
      <c r="A72" s="190"/>
    </row>
    <row r="73" spans="1:16" s="103" customFormat="1" ht="11.65" customHeight="1" x14ac:dyDescent="0.15">
      <c r="A73" s="190"/>
    </row>
    <row r="74" spans="1:16" s="103" customFormat="1" ht="11.65" customHeight="1" x14ac:dyDescent="0.15">
      <c r="A74" s="190"/>
    </row>
    <row r="75" spans="1:16" s="103" customFormat="1" ht="11.65" customHeight="1" x14ac:dyDescent="0.15">
      <c r="A75" s="190"/>
    </row>
    <row r="76" spans="1:16" s="103" customFormat="1" ht="11.65" customHeight="1" x14ac:dyDescent="0.15">
      <c r="A76" s="190"/>
    </row>
    <row r="77" spans="1:16" s="103" customFormat="1" ht="11.65" customHeight="1" x14ac:dyDescent="0.15">
      <c r="A77" s="190"/>
    </row>
    <row r="78" spans="1:16" s="103" customFormat="1" ht="11.65" customHeight="1" x14ac:dyDescent="0.15">
      <c r="A78" s="190"/>
    </row>
    <row r="79" spans="1:16" s="103" customFormat="1" ht="11.65" customHeight="1" x14ac:dyDescent="0.15">
      <c r="A79" s="190"/>
    </row>
    <row r="80" spans="1:16" s="103" customFormat="1" ht="11.65" customHeight="1" x14ac:dyDescent="0.15">
      <c r="A80" s="190"/>
    </row>
    <row r="81" spans="1:1" s="103" customFormat="1" ht="11.65" customHeight="1" x14ac:dyDescent="0.15">
      <c r="A81" s="190"/>
    </row>
    <row r="82" spans="1:1" s="103" customFormat="1" ht="11.65" customHeight="1" x14ac:dyDescent="0.15">
      <c r="A82" s="190"/>
    </row>
    <row r="83" spans="1:1" s="103" customFormat="1" ht="11.65" customHeight="1" x14ac:dyDescent="0.15">
      <c r="A83" s="190"/>
    </row>
    <row r="84" spans="1:1" s="103" customFormat="1" ht="11.65" customHeight="1" x14ac:dyDescent="0.15">
      <c r="A84" s="190"/>
    </row>
    <row r="85" spans="1:1" s="103" customFormat="1" ht="11.65" customHeight="1" x14ac:dyDescent="0.15">
      <c r="A85" s="190"/>
    </row>
    <row r="86" spans="1:1" s="103" customFormat="1" ht="11.65" customHeight="1" x14ac:dyDescent="0.15">
      <c r="A86" s="190"/>
    </row>
    <row r="87" spans="1:1" s="103" customFormat="1" ht="11.65" customHeight="1" x14ac:dyDescent="0.15">
      <c r="A87" s="190"/>
    </row>
    <row r="88" spans="1:1" s="103" customFormat="1" ht="11.65" customHeight="1" x14ac:dyDescent="0.15">
      <c r="A88" s="190"/>
    </row>
    <row r="89" spans="1:1" s="103" customFormat="1" ht="11.65" customHeight="1" x14ac:dyDescent="0.15">
      <c r="A89" s="190"/>
    </row>
    <row r="90" spans="1:1" s="103" customFormat="1" ht="11.65" customHeight="1" x14ac:dyDescent="0.15">
      <c r="A90" s="190"/>
    </row>
    <row r="91" spans="1:1" s="103" customFormat="1" ht="11.65" customHeight="1" x14ac:dyDescent="0.15">
      <c r="A91" s="190"/>
    </row>
    <row r="92" spans="1:1" s="103" customFormat="1" ht="11.65" customHeight="1" x14ac:dyDescent="0.15">
      <c r="A92" s="190"/>
    </row>
    <row r="93" spans="1:1" s="103" customFormat="1" ht="11.65" customHeight="1" x14ac:dyDescent="0.15">
      <c r="A93" s="190"/>
    </row>
    <row r="94" spans="1:1" s="103" customFormat="1" ht="11.65" customHeight="1" x14ac:dyDescent="0.15">
      <c r="A94" s="190"/>
    </row>
    <row r="95" spans="1:1" s="103" customFormat="1" ht="11.65" customHeight="1" x14ac:dyDescent="0.15">
      <c r="A95" s="190"/>
    </row>
    <row r="96" spans="1:1" s="103" customFormat="1" ht="11.65" customHeight="1" x14ac:dyDescent="0.15">
      <c r="A96" s="190"/>
    </row>
    <row r="97" spans="1:1" s="103" customFormat="1" ht="11.65" customHeight="1" x14ac:dyDescent="0.15">
      <c r="A97" s="190"/>
    </row>
    <row r="98" spans="1:1" s="103" customFormat="1" ht="11.65" customHeight="1" x14ac:dyDescent="0.15">
      <c r="A98" s="190"/>
    </row>
    <row r="99" spans="1:1" s="103" customFormat="1" ht="11.65" customHeight="1" x14ac:dyDescent="0.15">
      <c r="A99" s="190"/>
    </row>
    <row r="100" spans="1:1" s="103" customFormat="1" ht="11.65" customHeight="1" x14ac:dyDescent="0.15">
      <c r="A100" s="190"/>
    </row>
    <row r="101" spans="1:1" s="103" customFormat="1" ht="11.65" customHeight="1" x14ac:dyDescent="0.15">
      <c r="A101" s="190"/>
    </row>
    <row r="102" spans="1:1" s="103" customFormat="1" ht="11.65" customHeight="1" x14ac:dyDescent="0.15">
      <c r="A102" s="190"/>
    </row>
    <row r="103" spans="1:1" s="103" customFormat="1" ht="11.65" customHeight="1" x14ac:dyDescent="0.15">
      <c r="A103" s="190"/>
    </row>
    <row r="104" spans="1:1" s="103" customFormat="1" ht="11.65" customHeight="1" x14ac:dyDescent="0.15">
      <c r="A104" s="190"/>
    </row>
    <row r="105" spans="1:1" s="103" customFormat="1" ht="11.65" customHeight="1" x14ac:dyDescent="0.15">
      <c r="A105" s="190"/>
    </row>
    <row r="106" spans="1:1" s="103" customFormat="1" ht="11.65" customHeight="1" x14ac:dyDescent="0.15">
      <c r="A106" s="190"/>
    </row>
    <row r="107" spans="1:1" s="103" customFormat="1" ht="11.65" customHeight="1" x14ac:dyDescent="0.15">
      <c r="A107" s="190"/>
    </row>
    <row r="108" spans="1:1" s="103" customFormat="1" ht="11.65" customHeight="1" x14ac:dyDescent="0.15">
      <c r="A108" s="190"/>
    </row>
    <row r="109" spans="1:1" s="103" customFormat="1" ht="11.65" customHeight="1" x14ac:dyDescent="0.15">
      <c r="A109" s="190"/>
    </row>
    <row r="110" spans="1:1" s="103" customFormat="1" ht="11.65" customHeight="1" x14ac:dyDescent="0.15">
      <c r="A110" s="190"/>
    </row>
    <row r="111" spans="1:1" s="103" customFormat="1" ht="11.65" customHeight="1" x14ac:dyDescent="0.15">
      <c r="A111" s="190"/>
    </row>
    <row r="112" spans="1:1" s="103" customFormat="1" ht="11.65" customHeight="1" x14ac:dyDescent="0.15">
      <c r="A112" s="190"/>
    </row>
    <row r="113" spans="1:1" s="103" customFormat="1" ht="11.65" customHeight="1" x14ac:dyDescent="0.15">
      <c r="A113" s="190"/>
    </row>
    <row r="114" spans="1:1" s="103" customFormat="1" ht="11.65" customHeight="1" x14ac:dyDescent="0.15">
      <c r="A114" s="190"/>
    </row>
    <row r="115" spans="1:1" s="103" customFormat="1" ht="11.65" customHeight="1" x14ac:dyDescent="0.15">
      <c r="A115" s="190"/>
    </row>
    <row r="116" spans="1:1" s="103" customFormat="1" ht="11.65" customHeight="1" x14ac:dyDescent="0.15">
      <c r="A116" s="190"/>
    </row>
    <row r="117" spans="1:1" s="103" customFormat="1" ht="11.65" customHeight="1" x14ac:dyDescent="0.15">
      <c r="A117" s="190"/>
    </row>
    <row r="118" spans="1:1" s="103" customFormat="1" ht="11.65" customHeight="1" x14ac:dyDescent="0.15">
      <c r="A118" s="190"/>
    </row>
    <row r="119" spans="1:1" s="103" customFormat="1" ht="11.65" customHeight="1" x14ac:dyDescent="0.15">
      <c r="A119" s="190"/>
    </row>
    <row r="120" spans="1:1" s="103" customFormat="1" ht="11.65" customHeight="1" x14ac:dyDescent="0.15">
      <c r="A120" s="190"/>
    </row>
    <row r="121" spans="1:1" s="103" customFormat="1" ht="11.65" customHeight="1" x14ac:dyDescent="0.15">
      <c r="A121" s="190"/>
    </row>
    <row r="122" spans="1:1" s="103" customFormat="1" ht="11.65" customHeight="1" x14ac:dyDescent="0.15">
      <c r="A122" s="190"/>
    </row>
    <row r="123" spans="1:1" s="103" customFormat="1" ht="11.65" customHeight="1" x14ac:dyDescent="0.15">
      <c r="A123" s="190"/>
    </row>
    <row r="124" spans="1:1" s="103" customFormat="1" ht="11.65" customHeight="1" x14ac:dyDescent="0.15">
      <c r="A124" s="190"/>
    </row>
    <row r="125" spans="1:1" s="103" customFormat="1" ht="11.65" customHeight="1" x14ac:dyDescent="0.15">
      <c r="A125" s="190"/>
    </row>
    <row r="126" spans="1:1" s="103" customFormat="1" ht="11.65" customHeight="1" x14ac:dyDescent="0.15">
      <c r="A126" s="190"/>
    </row>
    <row r="127" spans="1:1" s="103" customFormat="1" ht="11.65" customHeight="1" x14ac:dyDescent="0.15">
      <c r="A127" s="190"/>
    </row>
    <row r="128" spans="1:1" s="103" customFormat="1" ht="11.65" customHeight="1" x14ac:dyDescent="0.15">
      <c r="A128" s="190"/>
    </row>
    <row r="129" spans="1:1" s="103" customFormat="1" ht="11.65" customHeight="1" x14ac:dyDescent="0.15">
      <c r="A129" s="190"/>
    </row>
    <row r="130" spans="1:1" s="103" customFormat="1" ht="11.65" customHeight="1" x14ac:dyDescent="0.15">
      <c r="A130" s="190"/>
    </row>
    <row r="131" spans="1:1" s="103" customFormat="1" ht="11.65" customHeight="1" x14ac:dyDescent="0.15">
      <c r="A131" s="190"/>
    </row>
    <row r="132" spans="1:1" s="103" customFormat="1" ht="11.65" customHeight="1" x14ac:dyDescent="0.15">
      <c r="A132" s="190"/>
    </row>
    <row r="133" spans="1:1" s="103" customFormat="1" ht="11.65" customHeight="1" x14ac:dyDescent="0.15">
      <c r="A133" s="190"/>
    </row>
    <row r="134" spans="1:1" s="103" customFormat="1" ht="11.65" customHeight="1" x14ac:dyDescent="0.15">
      <c r="A134" s="190"/>
    </row>
    <row r="135" spans="1:1" s="103" customFormat="1" ht="11.65" customHeight="1" x14ac:dyDescent="0.15">
      <c r="A135" s="190"/>
    </row>
    <row r="136" spans="1:1" s="103" customFormat="1" ht="11.65" customHeight="1" x14ac:dyDescent="0.15">
      <c r="A136" s="190"/>
    </row>
    <row r="137" spans="1:1" s="103" customFormat="1" ht="11.65" customHeight="1" x14ac:dyDescent="0.15">
      <c r="A137" s="190"/>
    </row>
    <row r="138" spans="1:1" s="103" customFormat="1" ht="11.65" customHeight="1" x14ac:dyDescent="0.15">
      <c r="A138" s="190"/>
    </row>
    <row r="139" spans="1:1" s="103" customFormat="1" ht="11.65" customHeight="1" x14ac:dyDescent="0.15">
      <c r="A139" s="190"/>
    </row>
    <row r="140" spans="1:1" s="103" customFormat="1" ht="11.65" customHeight="1" x14ac:dyDescent="0.15">
      <c r="A140" s="190"/>
    </row>
    <row r="141" spans="1:1" s="103" customFormat="1" ht="11.65" customHeight="1" x14ac:dyDescent="0.15">
      <c r="A141" s="190"/>
    </row>
    <row r="142" spans="1:1" s="103" customFormat="1" ht="11.65" customHeight="1" x14ac:dyDescent="0.15">
      <c r="A142" s="190"/>
    </row>
    <row r="143" spans="1:1" s="103" customFormat="1" ht="9.75" x14ac:dyDescent="0.15">
      <c r="A143" s="190"/>
    </row>
    <row r="144" spans="1:1" s="103" customFormat="1" ht="9.75" x14ac:dyDescent="0.15">
      <c r="A144" s="190"/>
    </row>
    <row r="145" spans="1:1" s="103" customFormat="1" ht="9.75" x14ac:dyDescent="0.15">
      <c r="A145" s="190"/>
    </row>
    <row r="146" spans="1:1" s="103" customFormat="1" ht="9.75" x14ac:dyDescent="0.15">
      <c r="A146" s="190"/>
    </row>
    <row r="147" spans="1:1" s="103" customFormat="1" ht="9.75" x14ac:dyDescent="0.15">
      <c r="A147" s="190"/>
    </row>
    <row r="148" spans="1:1" s="103" customFormat="1" ht="9.75" x14ac:dyDescent="0.15">
      <c r="A148" s="190"/>
    </row>
  </sheetData>
  <sheetProtection password="EECE" sheet="1" objects="1" scenarios="1" formatCells="0" formatColumns="0" formatRows="0"/>
  <customSheetViews>
    <customSheetView guid="{C3088B2E-F853-4D7E-B687-C6500891DFCB}" scale="110" showPageBreaks="1" fitToPage="1" printArea="1">
      <pane xSplit="3" ySplit="6" topLeftCell="K24" activePane="bottomRight" state="frozen"/>
      <selection pane="bottomRight"/>
      <pageMargins left="0.47244094488188998" right="0.47244094488188998" top="0.59055118110236204" bottom="0.59055118110236204" header="0.39370078740157499" footer="0.39370078740157499"/>
      <pageSetup scale="81" fitToHeight="0" orientation="landscape" r:id="rId1"/>
      <headerFooter alignWithMargins="0">
        <oddFooter>&amp;L&amp;8&amp;D  &amp;T&amp;R&amp;8March 2014, Version 0.2</oddFooter>
      </headerFooter>
    </customSheetView>
    <customSheetView guid="{F866C9B2-56BF-4FE4-B270-CC8FE15A5892}" scale="110" showPageBreaks="1" fitToPage="1" printArea="1">
      <pane xSplit="3" ySplit="6" topLeftCell="D7" activePane="bottomRight" state="frozen"/>
      <selection pane="bottomRight"/>
      <pageMargins left="0.47244094488188998" right="0.47244094488188998" top="0.59055118110236204" bottom="0.59055118110236204" header="0.39370078740157499" footer="0.39370078740157499"/>
      <pageSetup scale="80" fitToHeight="0" orientation="landscape" r:id="rId2"/>
      <headerFooter alignWithMargins="0">
        <oddFooter>&amp;L&amp;8&amp;D  &amp;T&amp;R&amp;8March 2014, Version 0.2</oddFooter>
      </headerFooter>
    </customSheetView>
    <customSheetView guid="{D66484CB-9D53-43A1-A83D-11534BC40BF6}" scale="110" showPageBreaks="1" fitToPage="1" printArea="1">
      <pane xSplit="3" ySplit="6" topLeftCell="D7" activePane="bottomRight" state="frozen"/>
      <selection pane="bottomRight" activeCell="D9" sqref="D9"/>
      <pageMargins left="0.47244094488188998" right="0.47244094488188998" top="0.59055118110236204" bottom="0.59055118110236204" header="0.39370078740157499" footer="0.39370078740157499"/>
      <pageSetup scale="80" fitToHeight="0" orientation="landscape" r:id="rId3"/>
      <headerFooter alignWithMargins="0">
        <oddFooter>&amp;L&amp;8&amp;D  &amp;T&amp;R&amp;8March 2014, Version 0.2</oddFooter>
      </headerFooter>
    </customSheetView>
  </customSheetViews>
  <mergeCells count="12">
    <mergeCell ref="O4:P4"/>
    <mergeCell ref="E2:M2"/>
    <mergeCell ref="H4:H5"/>
    <mergeCell ref="J4:J5"/>
    <mergeCell ref="K4:K5"/>
    <mergeCell ref="F3:G3"/>
    <mergeCell ref="A4:B5"/>
    <mergeCell ref="F1:L1"/>
    <mergeCell ref="M3:M5"/>
    <mergeCell ref="D4:G4"/>
    <mergeCell ref="I4:I5"/>
    <mergeCell ref="L4:L5"/>
  </mergeCells>
  <conditionalFormatting sqref="O7:P45">
    <cfRule type="cellIs" dxfId="333" priority="12" operator="lessThan">
      <formula>-0.1</formula>
    </cfRule>
    <cfRule type="cellIs" dxfId="332" priority="13" operator="greaterThan">
      <formula>0.1</formula>
    </cfRule>
  </conditionalFormatting>
  <conditionalFormatting sqref="D62:M68">
    <cfRule type="containsText" dxfId="331" priority="8" operator="containsText" text="NV">
      <formula>NOT(ISERROR(SEARCH("NV",D62)))</formula>
    </cfRule>
    <cfRule type="containsText" dxfId="330" priority="11" operator="containsText" text="vérificar">
      <formula>NOT(ISERROR(SEARCH("vérificar",D62)))</formula>
    </cfRule>
  </conditionalFormatting>
  <conditionalFormatting sqref="D48:M61">
    <cfRule type="cellIs" dxfId="329" priority="14" operator="lessThan">
      <formula>-0.1</formula>
    </cfRule>
    <cfRule type="cellIs" dxfId="328" priority="15" operator="greaterThan">
      <formula>0.1</formula>
    </cfRule>
  </conditionalFormatting>
  <conditionalFormatting sqref="O8:P45">
    <cfRule type="cellIs" dxfId="327" priority="6" operator="between">
      <formula>-0.1</formula>
      <formula>0.1</formula>
    </cfRule>
    <cfRule type="containsText" dxfId="326" priority="7" operator="containsText" text="NA">
      <formula>NOT(ISERROR(SEARCH("NA",O8)))</formula>
    </cfRule>
  </conditionalFormatting>
  <conditionalFormatting sqref="F64:F68 K64:K68">
    <cfRule type="containsText" dxfId="325" priority="2" operator="containsText" text="si">
      <formula>NOT(ISERROR(SEARCH("si",F64)))</formula>
    </cfRule>
    <cfRule type="containsText" dxfId="324" priority="5" operator="containsText" text="Oui">
      <formula>NOT(ISERROR(SEARCH("Oui",F64)))</formula>
    </cfRule>
  </conditionalFormatting>
  <conditionalFormatting sqref="D49:M61">
    <cfRule type="cellIs" dxfId="323" priority="4" operator="between">
      <formula>-0.1</formula>
      <formula>0.1</formula>
    </cfRule>
  </conditionalFormatting>
  <conditionalFormatting sqref="D49:M61 F64:F68 K64:K68">
    <cfRule type="containsText" dxfId="322" priority="3" operator="containsText" text="NA">
      <formula>NOT(ISERROR(SEARCH("NA",D49)))</formula>
    </cfRule>
  </conditionalFormatting>
  <conditionalFormatting sqref="F64:K68">
    <cfRule type="containsText" dxfId="321" priority="1" operator="containsText" text="v">
      <formula>NOT(ISERROR(SEARCH("v",F64)))</formula>
    </cfRule>
  </conditionalFormatting>
  <pageMargins left="0.47244094488188998" right="0.47244094488188998" top="0.59055118110236204" bottom="0.59055118110236204" header="0.39370078740157499" footer="0.39370078740157499"/>
  <pageSetup scale="80" fitToHeight="0" orientation="landscape" r:id="rId4"/>
  <headerFooter alignWithMargins="0">
    <oddFooter>&amp;L&amp;8&amp;D  &amp;T&amp;R&amp;8March 2014, Version 0.2</oddFooter>
  </headerFooter>
  <legacyDrawing r:id="rId5"/>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indexed="48"/>
    <pageSetUpPr fitToPage="1"/>
  </sheetPr>
  <dimension ref="A1:Q125"/>
  <sheetViews>
    <sheetView workbookViewId="0">
      <pane xSplit="4" ySplit="7" topLeftCell="E17" activePane="bottomRight" state="frozen"/>
      <selection activeCell="Q53" sqref="P8:Q53"/>
      <selection pane="topRight" activeCell="Q53" sqref="P8:Q53"/>
      <selection pane="bottomLeft" activeCell="Q53" sqref="P8:Q53"/>
      <selection pane="bottomRight" activeCell="E10" sqref="E10"/>
    </sheetView>
  </sheetViews>
  <sheetFormatPr baseColWidth="10" defaultColWidth="9.140625" defaultRowHeight="12.75" x14ac:dyDescent="0.2"/>
  <cols>
    <col min="1" max="1" width="14.140625" style="164" hidden="1" customWidth="1"/>
    <col min="2" max="2" width="7.28515625" style="221" customWidth="1"/>
    <col min="3" max="3" width="50.7109375" style="164" customWidth="1"/>
    <col min="4" max="4" width="1.28515625" style="164" customWidth="1"/>
    <col min="5" max="14" width="10" style="164" customWidth="1"/>
    <col min="15" max="15" width="3.28515625" style="164" customWidth="1"/>
    <col min="16" max="17" width="11.7109375" style="164" customWidth="1"/>
    <col min="18" max="18" width="9.140625" style="164" customWidth="1"/>
    <col min="19" max="16384" width="9.140625" style="164"/>
  </cols>
  <sheetData>
    <row r="1" spans="1:17" ht="14.25" x14ac:dyDescent="0.25">
      <c r="B1" s="513" t="str">
        <f>+Coverpage!A1</f>
        <v>GFSM2014_V1.5</v>
      </c>
      <c r="C1" s="514"/>
      <c r="D1" s="515"/>
      <c r="E1" s="516"/>
      <c r="F1" s="517"/>
      <c r="G1" s="771" t="str">
        <f>Reporting_Country_Name</f>
        <v>Colombia</v>
      </c>
      <c r="H1" s="771"/>
      <c r="I1" s="771"/>
      <c r="J1" s="771"/>
      <c r="K1" s="771"/>
      <c r="L1" s="771"/>
      <c r="M1" s="771"/>
      <c r="N1" s="518" t="str">
        <f>Reporting_Country_Code</f>
        <v>233</v>
      </c>
      <c r="O1" s="519"/>
      <c r="P1" s="694" t="s">
        <v>2731</v>
      </c>
      <c r="Q1" s="166"/>
    </row>
    <row r="2" spans="1:17" ht="14.25" x14ac:dyDescent="0.25">
      <c r="B2" s="520" t="s">
        <v>2815</v>
      </c>
      <c r="C2" s="521"/>
      <c r="D2" s="522"/>
      <c r="E2" s="523"/>
      <c r="F2" s="780" t="str">
        <f>"En "&amp;Coverpage!$I$15&amp;" de "&amp;Coverpage!$I$14&amp;" / El año fiscal termina en "&amp;Coverpage!$I$11&amp;" "&amp;Coverpage!$I$12</f>
        <v xml:space="preserve">En Billion de Colombian Pesos (COP) / El año fiscal termina en  </v>
      </c>
      <c r="G2" s="781"/>
      <c r="H2" s="781"/>
      <c r="I2" s="781"/>
      <c r="J2" s="781"/>
      <c r="K2" s="781"/>
      <c r="L2" s="781"/>
      <c r="M2" s="781"/>
      <c r="N2" s="781"/>
      <c r="O2" s="519"/>
      <c r="P2" s="695" t="s">
        <v>2732</v>
      </c>
      <c r="Q2" s="167"/>
    </row>
    <row r="3" spans="1:17" ht="12" customHeight="1" x14ac:dyDescent="0.25">
      <c r="B3" s="524"/>
      <c r="C3" s="525"/>
      <c r="D3" s="526"/>
      <c r="E3" s="527"/>
      <c r="F3" s="528"/>
      <c r="G3" s="784" t="s">
        <v>2726</v>
      </c>
      <c r="H3" s="784"/>
      <c r="I3" s="529" t="str">
        <f>Reporting_Period_Code</f>
        <v>2016</v>
      </c>
      <c r="J3" s="529"/>
      <c r="K3" s="528"/>
      <c r="L3" s="528"/>
      <c r="M3" s="530"/>
      <c r="N3" s="790" t="s">
        <v>2723</v>
      </c>
      <c r="O3" s="531"/>
      <c r="P3" s="168"/>
      <c r="Q3" s="168"/>
    </row>
    <row r="4" spans="1:17" ht="12" customHeight="1" x14ac:dyDescent="0.2">
      <c r="B4" s="785" t="s">
        <v>2781</v>
      </c>
      <c r="C4" s="786"/>
      <c r="D4" s="532"/>
      <c r="E4" s="787" t="s">
        <v>2727</v>
      </c>
      <c r="F4" s="788"/>
      <c r="G4" s="788"/>
      <c r="H4" s="789"/>
      <c r="I4" s="790" t="s">
        <v>2719</v>
      </c>
      <c r="J4" s="790" t="s">
        <v>2720</v>
      </c>
      <c r="K4" s="792" t="s">
        <v>2721</v>
      </c>
      <c r="L4" s="790" t="s">
        <v>2728</v>
      </c>
      <c r="M4" s="793" t="s">
        <v>2722</v>
      </c>
      <c r="N4" s="791"/>
      <c r="O4" s="531"/>
      <c r="P4" s="778" t="s">
        <v>2733</v>
      </c>
      <c r="Q4" s="779"/>
    </row>
    <row r="5" spans="1:17" ht="30" customHeight="1" x14ac:dyDescent="0.2">
      <c r="B5" s="785"/>
      <c r="C5" s="786"/>
      <c r="D5" s="532"/>
      <c r="E5" s="711" t="s">
        <v>2729</v>
      </c>
      <c r="F5" s="712" t="s">
        <v>2813</v>
      </c>
      <c r="G5" s="712" t="s">
        <v>2728</v>
      </c>
      <c r="H5" s="713" t="s">
        <v>2718</v>
      </c>
      <c r="I5" s="791"/>
      <c r="J5" s="791"/>
      <c r="K5" s="792"/>
      <c r="L5" s="791"/>
      <c r="M5" s="793"/>
      <c r="N5" s="791"/>
      <c r="O5" s="531"/>
      <c r="P5" s="668" t="s">
        <v>2734</v>
      </c>
      <c r="Q5" s="669" t="s">
        <v>2735</v>
      </c>
    </row>
    <row r="6" spans="1:17" ht="30" hidden="1" customHeight="1" x14ac:dyDescent="0.2">
      <c r="B6" s="659"/>
      <c r="C6" s="660"/>
      <c r="D6" s="532"/>
      <c r="E6" s="533" t="s">
        <v>1562</v>
      </c>
      <c r="F6" s="657" t="s">
        <v>1563</v>
      </c>
      <c r="G6" s="657" t="s">
        <v>1575</v>
      </c>
      <c r="H6" s="658" t="s">
        <v>634</v>
      </c>
      <c r="I6" s="658" t="s">
        <v>1564</v>
      </c>
      <c r="J6" s="657" t="s">
        <v>1574</v>
      </c>
      <c r="K6" s="658" t="s">
        <v>637</v>
      </c>
      <c r="L6" s="657" t="s">
        <v>1576</v>
      </c>
      <c r="M6" s="662" t="s">
        <v>1565</v>
      </c>
      <c r="N6" s="662" t="s">
        <v>1577</v>
      </c>
      <c r="O6" s="531"/>
      <c r="P6" s="169"/>
      <c r="Q6" s="170"/>
    </row>
    <row r="7" spans="1:17" ht="10.5" customHeight="1" x14ac:dyDescent="0.2">
      <c r="B7" s="536"/>
      <c r="C7" s="537"/>
      <c r="D7" s="537"/>
      <c r="E7" s="538" t="s">
        <v>632</v>
      </c>
      <c r="F7" s="539" t="s">
        <v>633</v>
      </c>
      <c r="G7" s="539" t="s">
        <v>155</v>
      </c>
      <c r="H7" s="540" t="s">
        <v>634</v>
      </c>
      <c r="I7" s="539" t="s">
        <v>635</v>
      </c>
      <c r="J7" s="539" t="s">
        <v>636</v>
      </c>
      <c r="K7" s="540" t="s">
        <v>637</v>
      </c>
      <c r="L7" s="539" t="s">
        <v>156</v>
      </c>
      <c r="M7" s="541" t="s">
        <v>638</v>
      </c>
      <c r="N7" s="541" t="s">
        <v>639</v>
      </c>
      <c r="O7" s="531"/>
      <c r="P7" s="171" t="s">
        <v>640</v>
      </c>
      <c r="Q7" s="172" t="s">
        <v>641</v>
      </c>
    </row>
    <row r="8" spans="1:17" ht="14.25" x14ac:dyDescent="0.25">
      <c r="B8" s="592" t="s">
        <v>990</v>
      </c>
      <c r="C8" s="700" t="s">
        <v>2782</v>
      </c>
      <c r="D8" s="575" t="s">
        <v>48</v>
      </c>
      <c r="E8" s="543"/>
      <c r="F8" s="543"/>
      <c r="G8" s="543"/>
      <c r="H8" s="544"/>
      <c r="I8" s="543"/>
      <c r="J8" s="543"/>
      <c r="K8" s="544"/>
      <c r="L8" s="543"/>
      <c r="M8" s="545"/>
      <c r="N8" s="543"/>
      <c r="O8" s="546"/>
      <c r="P8" s="178"/>
      <c r="Q8" s="179"/>
    </row>
    <row r="9" spans="1:17" ht="14.1" customHeight="1" x14ac:dyDescent="0.25">
      <c r="A9" s="143" t="s">
        <v>1921</v>
      </c>
      <c r="B9" s="547" t="s">
        <v>385</v>
      </c>
      <c r="C9" s="701" t="s">
        <v>2783</v>
      </c>
      <c r="D9" s="575" t="s">
        <v>48</v>
      </c>
      <c r="E9" s="90"/>
      <c r="F9" s="90"/>
      <c r="G9" s="90"/>
      <c r="H9" s="90"/>
      <c r="I9" s="90"/>
      <c r="J9" s="90"/>
      <c r="K9" s="90"/>
      <c r="L9" s="90"/>
      <c r="M9" s="90"/>
      <c r="N9" s="90"/>
      <c r="O9" s="546"/>
      <c r="P9" s="178">
        <f t="shared" ref="P9:P22" si="0">IF(OR(H9="NA",E9="NA",F9="NA",G9="NA"),"NA",SUM(H9)-SUM(E9:G9))</f>
        <v>0</v>
      </c>
      <c r="Q9" s="179">
        <f t="shared" ref="Q9:Q22" si="1">IF(OR(M9="NA",H9="NA",I9="NA",J9="NA",K9="NA",L9="NA"),"NA",SUM(M9)-SUM(H9:L9))</f>
        <v>0</v>
      </c>
    </row>
    <row r="10" spans="1:17" ht="10.35" customHeight="1" x14ac:dyDescent="0.25">
      <c r="A10" s="143" t="s">
        <v>1922</v>
      </c>
      <c r="B10" s="549" t="s">
        <v>386</v>
      </c>
      <c r="C10" s="702" t="s">
        <v>2784</v>
      </c>
      <c r="D10" s="575" t="s">
        <v>48</v>
      </c>
      <c r="E10" s="89"/>
      <c r="F10" s="89"/>
      <c r="G10" s="89"/>
      <c r="H10" s="93"/>
      <c r="I10" s="89"/>
      <c r="J10" s="89"/>
      <c r="K10" s="93"/>
      <c r="L10" s="89"/>
      <c r="M10" s="89"/>
      <c r="N10" s="89"/>
      <c r="O10" s="546"/>
      <c r="P10" s="178">
        <f t="shared" si="0"/>
        <v>0</v>
      </c>
      <c r="Q10" s="179">
        <f t="shared" si="1"/>
        <v>0</v>
      </c>
    </row>
    <row r="11" spans="1:17" ht="10.35" customHeight="1" x14ac:dyDescent="0.25">
      <c r="A11" s="143" t="s">
        <v>1923</v>
      </c>
      <c r="B11" s="549" t="s">
        <v>387</v>
      </c>
      <c r="C11" s="702" t="s">
        <v>2785</v>
      </c>
      <c r="D11" s="575" t="s">
        <v>48</v>
      </c>
      <c r="E11" s="89"/>
      <c r="F11" s="89"/>
      <c r="G11" s="617">
        <v>0</v>
      </c>
      <c r="H11" s="93"/>
      <c r="I11" s="89"/>
      <c r="J11" s="89"/>
      <c r="K11" s="93"/>
      <c r="L11" s="617">
        <v>0</v>
      </c>
      <c r="M11" s="89"/>
      <c r="N11" s="89"/>
      <c r="O11" s="546"/>
      <c r="P11" s="178">
        <f t="shared" si="0"/>
        <v>0</v>
      </c>
      <c r="Q11" s="179">
        <f t="shared" si="1"/>
        <v>0</v>
      </c>
    </row>
    <row r="12" spans="1:17" ht="10.35" customHeight="1" x14ac:dyDescent="0.25">
      <c r="A12" s="143" t="s">
        <v>1924</v>
      </c>
      <c r="B12" s="549" t="s">
        <v>388</v>
      </c>
      <c r="C12" s="702" t="s">
        <v>2786</v>
      </c>
      <c r="D12" s="575" t="s">
        <v>48</v>
      </c>
      <c r="E12" s="89"/>
      <c r="F12" s="89"/>
      <c r="G12" s="89"/>
      <c r="H12" s="93"/>
      <c r="I12" s="89"/>
      <c r="J12" s="89"/>
      <c r="K12" s="93"/>
      <c r="L12" s="89"/>
      <c r="M12" s="89"/>
      <c r="N12" s="89"/>
      <c r="O12" s="546"/>
      <c r="P12" s="178">
        <f t="shared" si="0"/>
        <v>0</v>
      </c>
      <c r="Q12" s="179">
        <f t="shared" si="1"/>
        <v>0</v>
      </c>
    </row>
    <row r="13" spans="1:17" ht="10.35" customHeight="1" x14ac:dyDescent="0.25">
      <c r="A13" s="143" t="s">
        <v>1925</v>
      </c>
      <c r="B13" s="549" t="s">
        <v>389</v>
      </c>
      <c r="C13" s="702" t="s">
        <v>2787</v>
      </c>
      <c r="D13" s="575" t="s">
        <v>48</v>
      </c>
      <c r="E13" s="89"/>
      <c r="F13" s="89"/>
      <c r="G13" s="89"/>
      <c r="H13" s="93"/>
      <c r="I13" s="89"/>
      <c r="J13" s="89"/>
      <c r="K13" s="93"/>
      <c r="L13" s="89"/>
      <c r="M13" s="89"/>
      <c r="N13" s="89"/>
      <c r="O13" s="546"/>
      <c r="P13" s="178">
        <f t="shared" si="0"/>
        <v>0</v>
      </c>
      <c r="Q13" s="179">
        <f t="shared" si="1"/>
        <v>0</v>
      </c>
    </row>
    <row r="14" spans="1:17" ht="15" customHeight="1" x14ac:dyDescent="0.25">
      <c r="A14" s="143" t="s">
        <v>1926</v>
      </c>
      <c r="B14" s="547" t="s">
        <v>390</v>
      </c>
      <c r="C14" s="701" t="s">
        <v>2788</v>
      </c>
      <c r="D14" s="575" t="s">
        <v>48</v>
      </c>
      <c r="E14" s="90"/>
      <c r="F14" s="90"/>
      <c r="G14" s="90"/>
      <c r="H14" s="90"/>
      <c r="I14" s="90"/>
      <c r="J14" s="90"/>
      <c r="K14" s="90"/>
      <c r="L14" s="90"/>
      <c r="M14" s="90"/>
      <c r="N14" s="90"/>
      <c r="O14" s="546"/>
      <c r="P14" s="178">
        <f t="shared" si="0"/>
        <v>0</v>
      </c>
      <c r="Q14" s="179">
        <f t="shared" si="1"/>
        <v>0</v>
      </c>
    </row>
    <row r="15" spans="1:17" ht="10.35" customHeight="1" x14ac:dyDescent="0.25">
      <c r="A15" s="143" t="s">
        <v>1927</v>
      </c>
      <c r="B15" s="549" t="s">
        <v>391</v>
      </c>
      <c r="C15" s="702" t="s">
        <v>2789</v>
      </c>
      <c r="D15" s="575" t="s">
        <v>48</v>
      </c>
      <c r="E15" s="89"/>
      <c r="F15" s="89"/>
      <c r="G15" s="617">
        <v>0</v>
      </c>
      <c r="H15" s="93"/>
      <c r="I15" s="89"/>
      <c r="J15" s="89"/>
      <c r="K15" s="93"/>
      <c r="L15" s="617">
        <v>0</v>
      </c>
      <c r="M15" s="89"/>
      <c r="N15" s="89"/>
      <c r="O15" s="546"/>
      <c r="P15" s="178">
        <f t="shared" si="0"/>
        <v>0</v>
      </c>
      <c r="Q15" s="179">
        <f t="shared" si="1"/>
        <v>0</v>
      </c>
    </row>
    <row r="16" spans="1:17" ht="10.35" customHeight="1" x14ac:dyDescent="0.25">
      <c r="A16" s="143" t="s">
        <v>1928</v>
      </c>
      <c r="B16" s="549" t="s">
        <v>392</v>
      </c>
      <c r="C16" s="702" t="s">
        <v>2790</v>
      </c>
      <c r="D16" s="575" t="s">
        <v>48</v>
      </c>
      <c r="E16" s="89"/>
      <c r="F16" s="89"/>
      <c r="G16" s="89"/>
      <c r="H16" s="93"/>
      <c r="I16" s="89"/>
      <c r="J16" s="89"/>
      <c r="K16" s="93"/>
      <c r="L16" s="89"/>
      <c r="M16" s="89"/>
      <c r="N16" s="89"/>
      <c r="O16" s="546"/>
      <c r="P16" s="178">
        <f t="shared" si="0"/>
        <v>0</v>
      </c>
      <c r="Q16" s="179">
        <f t="shared" si="1"/>
        <v>0</v>
      </c>
    </row>
    <row r="17" spans="1:17" ht="10.35" customHeight="1" x14ac:dyDescent="0.25">
      <c r="A17" s="143" t="s">
        <v>1929</v>
      </c>
      <c r="B17" s="549" t="s">
        <v>393</v>
      </c>
      <c r="C17" s="702" t="s">
        <v>2791</v>
      </c>
      <c r="D17" s="575" t="s">
        <v>48</v>
      </c>
      <c r="E17" s="89"/>
      <c r="F17" s="89"/>
      <c r="G17" s="89"/>
      <c r="H17" s="93"/>
      <c r="I17" s="89"/>
      <c r="J17" s="89"/>
      <c r="K17" s="93"/>
      <c r="L17" s="89"/>
      <c r="M17" s="89"/>
      <c r="N17" s="89"/>
      <c r="O17" s="546"/>
      <c r="P17" s="178">
        <f t="shared" si="0"/>
        <v>0</v>
      </c>
      <c r="Q17" s="179">
        <f t="shared" si="1"/>
        <v>0</v>
      </c>
    </row>
    <row r="18" spans="1:17" ht="10.35" customHeight="1" x14ac:dyDescent="0.25">
      <c r="A18" s="143" t="s">
        <v>1930</v>
      </c>
      <c r="B18" s="549" t="s">
        <v>394</v>
      </c>
      <c r="C18" s="702" t="s">
        <v>2792</v>
      </c>
      <c r="D18" s="575" t="s">
        <v>48</v>
      </c>
      <c r="E18" s="89"/>
      <c r="F18" s="89"/>
      <c r="G18" s="89"/>
      <c r="H18" s="375"/>
      <c r="I18" s="89"/>
      <c r="J18" s="89"/>
      <c r="K18" s="93"/>
      <c r="L18" s="89"/>
      <c r="M18" s="89"/>
      <c r="N18" s="89"/>
      <c r="O18" s="546"/>
      <c r="P18" s="178">
        <f t="shared" si="0"/>
        <v>0</v>
      </c>
      <c r="Q18" s="179">
        <f t="shared" si="1"/>
        <v>0</v>
      </c>
    </row>
    <row r="19" spans="1:17" ht="10.35" customHeight="1" x14ac:dyDescent="0.25">
      <c r="A19" s="143" t="s">
        <v>1931</v>
      </c>
      <c r="B19" s="549" t="s">
        <v>395</v>
      </c>
      <c r="C19" s="702" t="s">
        <v>2793</v>
      </c>
      <c r="D19" s="575" t="s">
        <v>48</v>
      </c>
      <c r="E19" s="89"/>
      <c r="F19" s="89"/>
      <c r="G19" s="89"/>
      <c r="H19" s="93"/>
      <c r="I19" s="89"/>
      <c r="J19" s="89"/>
      <c r="K19" s="93"/>
      <c r="L19" s="89"/>
      <c r="M19" s="89"/>
      <c r="N19" s="89"/>
      <c r="O19" s="546"/>
      <c r="P19" s="178">
        <f t="shared" si="0"/>
        <v>0</v>
      </c>
      <c r="Q19" s="179">
        <f t="shared" si="1"/>
        <v>0</v>
      </c>
    </row>
    <row r="20" spans="1:17" ht="10.35" customHeight="1" x14ac:dyDescent="0.25">
      <c r="A20" s="143" t="s">
        <v>1932</v>
      </c>
      <c r="B20" s="549" t="s">
        <v>396</v>
      </c>
      <c r="C20" s="702" t="s">
        <v>2794</v>
      </c>
      <c r="D20" s="575" t="s">
        <v>48</v>
      </c>
      <c r="E20" s="89"/>
      <c r="F20" s="89"/>
      <c r="G20" s="617">
        <v>0</v>
      </c>
      <c r="H20" s="93"/>
      <c r="I20" s="89"/>
      <c r="J20" s="89"/>
      <c r="K20" s="93"/>
      <c r="L20" s="617">
        <v>0</v>
      </c>
      <c r="M20" s="89"/>
      <c r="N20" s="89"/>
      <c r="O20" s="546"/>
      <c r="P20" s="178">
        <f t="shared" si="0"/>
        <v>0</v>
      </c>
      <c r="Q20" s="179">
        <f t="shared" si="1"/>
        <v>0</v>
      </c>
    </row>
    <row r="21" spans="1:17" ht="10.35" customHeight="1" x14ac:dyDescent="0.25">
      <c r="A21" s="143" t="s">
        <v>1933</v>
      </c>
      <c r="B21" s="551" t="s">
        <v>397</v>
      </c>
      <c r="C21" s="703" t="s">
        <v>2795</v>
      </c>
      <c r="D21" s="576" t="s">
        <v>48</v>
      </c>
      <c r="E21" s="148"/>
      <c r="F21" s="148"/>
      <c r="G21" s="148"/>
      <c r="H21" s="93"/>
      <c r="I21" s="89"/>
      <c r="J21" s="89"/>
      <c r="K21" s="93"/>
      <c r="L21" s="89"/>
      <c r="M21" s="89"/>
      <c r="N21" s="148"/>
      <c r="O21" s="546"/>
      <c r="P21" s="181">
        <f t="shared" si="0"/>
        <v>0</v>
      </c>
      <c r="Q21" s="182">
        <f t="shared" si="1"/>
        <v>0</v>
      </c>
    </row>
    <row r="22" spans="1:17" ht="15" customHeight="1" x14ac:dyDescent="0.25">
      <c r="A22" s="143" t="s">
        <v>1953</v>
      </c>
      <c r="B22" s="556" t="s">
        <v>31</v>
      </c>
      <c r="C22" s="704" t="s">
        <v>2796</v>
      </c>
      <c r="D22" s="577" t="s">
        <v>48</v>
      </c>
      <c r="E22" s="158"/>
      <c r="F22" s="158"/>
      <c r="G22" s="158"/>
      <c r="H22" s="158"/>
      <c r="I22" s="158"/>
      <c r="J22" s="158"/>
      <c r="K22" s="158"/>
      <c r="L22" s="158"/>
      <c r="M22" s="158"/>
      <c r="N22" s="158"/>
      <c r="O22" s="546"/>
      <c r="P22" s="183">
        <f t="shared" si="0"/>
        <v>0</v>
      </c>
      <c r="Q22" s="184">
        <f t="shared" si="1"/>
        <v>0</v>
      </c>
    </row>
    <row r="23" spans="1:17" ht="14.25" x14ac:dyDescent="0.25">
      <c r="A23" s="143"/>
      <c r="B23" s="592" t="s">
        <v>990</v>
      </c>
      <c r="C23" s="705" t="s">
        <v>2797</v>
      </c>
      <c r="D23" s="575" t="s">
        <v>48</v>
      </c>
      <c r="E23" s="681"/>
      <c r="F23" s="682"/>
      <c r="G23" s="682"/>
      <c r="H23" s="682"/>
      <c r="I23" s="682"/>
      <c r="J23" s="682"/>
      <c r="K23" s="682"/>
      <c r="L23" s="682"/>
      <c r="M23" s="682"/>
      <c r="N23" s="683"/>
      <c r="O23" s="546"/>
      <c r="P23" s="178"/>
      <c r="Q23" s="179"/>
    </row>
    <row r="24" spans="1:17" ht="11.25" customHeight="1" x14ac:dyDescent="0.25">
      <c r="A24" s="143" t="s">
        <v>1934</v>
      </c>
      <c r="B24" s="547" t="s">
        <v>398</v>
      </c>
      <c r="C24" s="701" t="s">
        <v>2798</v>
      </c>
      <c r="D24" s="575" t="s">
        <v>48</v>
      </c>
      <c r="E24" s="90"/>
      <c r="F24" s="90"/>
      <c r="G24" s="477">
        <v>0</v>
      </c>
      <c r="H24" s="90"/>
      <c r="I24" s="90"/>
      <c r="J24" s="90"/>
      <c r="K24" s="90"/>
      <c r="L24" s="477">
        <v>0</v>
      </c>
      <c r="M24" s="90"/>
      <c r="N24" s="90"/>
      <c r="O24" s="546"/>
      <c r="P24" s="178">
        <f t="shared" ref="P24:P30" si="2">IF(OR(H24="NA",E24="NA",F24="NA",G24="NA"),"NA",SUM(H24)-SUM(E24:G24))</f>
        <v>0</v>
      </c>
      <c r="Q24" s="179">
        <f t="shared" ref="Q24:Q30" si="3">IF(OR(M24="NA",H24="NA",I24="NA",J24="NA",K24="NA",L24="NA"),"NA",SUM(M24)-SUM(H24:L24))</f>
        <v>0</v>
      </c>
    </row>
    <row r="25" spans="1:17" ht="10.35" customHeight="1" x14ac:dyDescent="0.25">
      <c r="A25" s="143" t="s">
        <v>1941</v>
      </c>
      <c r="B25" s="549" t="s">
        <v>399</v>
      </c>
      <c r="C25" s="702" t="s">
        <v>2799</v>
      </c>
      <c r="D25" s="575" t="s">
        <v>48</v>
      </c>
      <c r="E25" s="89"/>
      <c r="F25" s="89"/>
      <c r="G25" s="473">
        <v>0</v>
      </c>
      <c r="H25" s="93"/>
      <c r="I25" s="89"/>
      <c r="J25" s="89"/>
      <c r="K25" s="93"/>
      <c r="L25" s="473">
        <v>0</v>
      </c>
      <c r="M25" s="89"/>
      <c r="N25" s="89"/>
      <c r="O25" s="546"/>
      <c r="P25" s="178">
        <f t="shared" si="2"/>
        <v>0</v>
      </c>
      <c r="Q25" s="179">
        <f t="shared" si="3"/>
        <v>0</v>
      </c>
    </row>
    <row r="26" spans="1:17" ht="10.35" customHeight="1" x14ac:dyDescent="0.25">
      <c r="A26" s="143" t="s">
        <v>1942</v>
      </c>
      <c r="B26" s="549" t="s">
        <v>400</v>
      </c>
      <c r="C26" s="702" t="s">
        <v>2800</v>
      </c>
      <c r="D26" s="575" t="s">
        <v>48</v>
      </c>
      <c r="E26" s="89"/>
      <c r="F26" s="89"/>
      <c r="G26" s="473">
        <v>0</v>
      </c>
      <c r="H26" s="93"/>
      <c r="I26" s="89"/>
      <c r="J26" s="89"/>
      <c r="K26" s="93"/>
      <c r="L26" s="473">
        <v>0</v>
      </c>
      <c r="M26" s="89"/>
      <c r="N26" s="89"/>
      <c r="O26" s="546"/>
      <c r="P26" s="178">
        <f t="shared" si="2"/>
        <v>0</v>
      </c>
      <c r="Q26" s="179">
        <f t="shared" si="3"/>
        <v>0</v>
      </c>
    </row>
    <row r="27" spans="1:17" ht="10.35" customHeight="1" x14ac:dyDescent="0.25">
      <c r="A27" s="143" t="s">
        <v>1943</v>
      </c>
      <c r="B27" s="549" t="s">
        <v>401</v>
      </c>
      <c r="C27" s="702" t="s">
        <v>2801</v>
      </c>
      <c r="D27" s="575" t="s">
        <v>48</v>
      </c>
      <c r="E27" s="89"/>
      <c r="F27" s="89"/>
      <c r="G27" s="473">
        <v>0</v>
      </c>
      <c r="H27" s="93"/>
      <c r="I27" s="89"/>
      <c r="J27" s="89"/>
      <c r="K27" s="93"/>
      <c r="L27" s="473">
        <v>0</v>
      </c>
      <c r="M27" s="89"/>
      <c r="N27" s="89"/>
      <c r="O27" s="546"/>
      <c r="P27" s="178">
        <f t="shared" si="2"/>
        <v>0</v>
      </c>
      <c r="Q27" s="179">
        <f t="shared" si="3"/>
        <v>0</v>
      </c>
    </row>
    <row r="28" spans="1:17" ht="10.35" customHeight="1" x14ac:dyDescent="0.25">
      <c r="A28" s="143" t="s">
        <v>1944</v>
      </c>
      <c r="B28" s="551" t="s">
        <v>402</v>
      </c>
      <c r="C28" s="703" t="s">
        <v>2802</v>
      </c>
      <c r="D28" s="576" t="s">
        <v>48</v>
      </c>
      <c r="E28" s="148"/>
      <c r="F28" s="148"/>
      <c r="G28" s="624">
        <v>0</v>
      </c>
      <c r="H28" s="148"/>
      <c r="I28" s="148"/>
      <c r="J28" s="148"/>
      <c r="K28" s="149"/>
      <c r="L28" s="624">
        <v>0</v>
      </c>
      <c r="M28" s="148"/>
      <c r="N28" s="148"/>
      <c r="O28" s="546"/>
      <c r="P28" s="181">
        <f t="shared" si="2"/>
        <v>0</v>
      </c>
      <c r="Q28" s="182">
        <f t="shared" si="3"/>
        <v>0</v>
      </c>
    </row>
    <row r="29" spans="1:17" ht="15" customHeight="1" x14ac:dyDescent="0.25">
      <c r="A29" s="143" t="s">
        <v>1945</v>
      </c>
      <c r="B29" s="559" t="s">
        <v>403</v>
      </c>
      <c r="C29" s="706" t="s">
        <v>2803</v>
      </c>
      <c r="D29" s="576" t="s">
        <v>48</v>
      </c>
      <c r="E29" s="144"/>
      <c r="F29" s="144"/>
      <c r="G29" s="144"/>
      <c r="H29" s="144"/>
      <c r="I29" s="144"/>
      <c r="J29" s="144"/>
      <c r="K29" s="144"/>
      <c r="L29" s="144"/>
      <c r="M29" s="144"/>
      <c r="N29" s="144"/>
      <c r="O29" s="546"/>
      <c r="P29" s="181">
        <f t="shared" si="2"/>
        <v>0</v>
      </c>
      <c r="Q29" s="182">
        <f t="shared" si="3"/>
        <v>0</v>
      </c>
    </row>
    <row r="30" spans="1:17" ht="15" customHeight="1" x14ac:dyDescent="0.25">
      <c r="A30" s="143" t="s">
        <v>1592</v>
      </c>
      <c r="B30" s="559" t="s">
        <v>32</v>
      </c>
      <c r="C30" s="706" t="s">
        <v>2804</v>
      </c>
      <c r="D30" s="576" t="s">
        <v>48</v>
      </c>
      <c r="E30" s="144"/>
      <c r="F30" s="144"/>
      <c r="G30" s="144"/>
      <c r="H30" s="144"/>
      <c r="I30" s="144"/>
      <c r="J30" s="144"/>
      <c r="K30" s="144"/>
      <c r="L30" s="144"/>
      <c r="M30" s="144"/>
      <c r="N30" s="144"/>
      <c r="O30" s="546"/>
      <c r="P30" s="181">
        <f t="shared" si="2"/>
        <v>0</v>
      </c>
      <c r="Q30" s="182">
        <f t="shared" si="3"/>
        <v>0</v>
      </c>
    </row>
    <row r="31" spans="1:17" ht="22.5" customHeight="1" x14ac:dyDescent="0.25">
      <c r="A31" s="143"/>
      <c r="B31" s="593" t="s">
        <v>990</v>
      </c>
      <c r="C31" s="707" t="s">
        <v>2805</v>
      </c>
      <c r="D31" s="575" t="s">
        <v>48</v>
      </c>
      <c r="E31" s="681"/>
      <c r="F31" s="682"/>
      <c r="G31" s="682"/>
      <c r="H31" s="682"/>
      <c r="I31" s="682"/>
      <c r="J31" s="682"/>
      <c r="K31" s="682"/>
      <c r="L31" s="682"/>
      <c r="M31" s="682"/>
      <c r="N31" s="683"/>
      <c r="O31" s="546"/>
      <c r="P31" s="178"/>
      <c r="Q31" s="179"/>
    </row>
    <row r="32" spans="1:17" ht="11.25" customHeight="1" x14ac:dyDescent="0.25">
      <c r="A32" s="143" t="s">
        <v>1935</v>
      </c>
      <c r="B32" s="547" t="s">
        <v>404</v>
      </c>
      <c r="C32" s="701" t="s">
        <v>2806</v>
      </c>
      <c r="D32" s="575" t="s">
        <v>48</v>
      </c>
      <c r="E32" s="90"/>
      <c r="F32" s="90"/>
      <c r="G32" s="90"/>
      <c r="H32" s="90"/>
      <c r="I32" s="90"/>
      <c r="J32" s="90"/>
      <c r="K32" s="90"/>
      <c r="L32" s="90"/>
      <c r="M32" s="90"/>
      <c r="N32" s="90"/>
      <c r="O32" s="546"/>
      <c r="P32" s="178">
        <f t="shared" ref="P32:P40" si="4">IF(OR(H32="NA",E32="NA",F32="NA",G32="NA"),"NA",SUM(H32)-SUM(E32:G32))</f>
        <v>0</v>
      </c>
      <c r="Q32" s="179">
        <f t="shared" ref="Q32:Q40" si="5">IF(OR(M32="NA",H32="NA",I32="NA",J32="NA",K32="NA",L32="NA"),"NA",SUM(M32)-SUM(H32:L32))</f>
        <v>0</v>
      </c>
    </row>
    <row r="33" spans="1:17" ht="10.35" customHeight="1" x14ac:dyDescent="0.25">
      <c r="A33" s="143" t="s">
        <v>1936</v>
      </c>
      <c r="B33" s="549" t="s">
        <v>405</v>
      </c>
      <c r="C33" s="702" t="s">
        <v>2762</v>
      </c>
      <c r="D33" s="575" t="s">
        <v>48</v>
      </c>
      <c r="E33" s="89"/>
      <c r="F33" s="89"/>
      <c r="G33" s="89"/>
      <c r="H33" s="93"/>
      <c r="I33" s="89"/>
      <c r="J33" s="89"/>
      <c r="K33" s="93"/>
      <c r="L33" s="89"/>
      <c r="M33" s="89"/>
      <c r="N33" s="89"/>
      <c r="O33" s="546"/>
      <c r="P33" s="178">
        <f t="shared" si="4"/>
        <v>0</v>
      </c>
      <c r="Q33" s="179">
        <f t="shared" si="5"/>
        <v>0</v>
      </c>
    </row>
    <row r="34" spans="1:17" ht="10.35" customHeight="1" x14ac:dyDescent="0.25">
      <c r="A34" s="143" t="s">
        <v>1937</v>
      </c>
      <c r="B34" s="549" t="s">
        <v>406</v>
      </c>
      <c r="C34" s="702" t="s">
        <v>2763</v>
      </c>
      <c r="D34" s="575" t="s">
        <v>48</v>
      </c>
      <c r="E34" s="89"/>
      <c r="F34" s="89"/>
      <c r="G34" s="617">
        <v>0</v>
      </c>
      <c r="H34" s="93"/>
      <c r="I34" s="89"/>
      <c r="J34" s="89"/>
      <c r="K34" s="93"/>
      <c r="L34" s="617">
        <v>0</v>
      </c>
      <c r="M34" s="89"/>
      <c r="N34" s="89"/>
      <c r="O34" s="546"/>
      <c r="P34" s="178">
        <f t="shared" si="4"/>
        <v>0</v>
      </c>
      <c r="Q34" s="179">
        <f t="shared" si="5"/>
        <v>0</v>
      </c>
    </row>
    <row r="35" spans="1:17" ht="15" customHeight="1" x14ac:dyDescent="0.25">
      <c r="A35" s="143" t="s">
        <v>1938</v>
      </c>
      <c r="B35" s="547" t="s">
        <v>407</v>
      </c>
      <c r="C35" s="708" t="s">
        <v>2807</v>
      </c>
      <c r="D35" s="575" t="s">
        <v>48</v>
      </c>
      <c r="E35" s="90"/>
      <c r="F35" s="90"/>
      <c r="G35" s="90"/>
      <c r="H35" s="90"/>
      <c r="I35" s="90"/>
      <c r="J35" s="90"/>
      <c r="K35" s="90"/>
      <c r="L35" s="90"/>
      <c r="M35" s="90"/>
      <c r="N35" s="90"/>
      <c r="O35" s="546"/>
      <c r="P35" s="178">
        <f t="shared" si="4"/>
        <v>0</v>
      </c>
      <c r="Q35" s="179">
        <f t="shared" si="5"/>
        <v>0</v>
      </c>
    </row>
    <row r="36" spans="1:17" ht="10.35" customHeight="1" x14ac:dyDescent="0.25">
      <c r="A36" s="143" t="s">
        <v>1939</v>
      </c>
      <c r="B36" s="549" t="s">
        <v>408</v>
      </c>
      <c r="C36" s="702" t="s">
        <v>2765</v>
      </c>
      <c r="D36" s="575" t="s">
        <v>48</v>
      </c>
      <c r="E36" s="89"/>
      <c r="F36" s="89"/>
      <c r="G36" s="89"/>
      <c r="H36" s="93"/>
      <c r="I36" s="89"/>
      <c r="J36" s="89"/>
      <c r="K36" s="93"/>
      <c r="L36" s="89"/>
      <c r="M36" s="89"/>
      <c r="N36" s="89"/>
      <c r="O36" s="546"/>
      <c r="P36" s="178">
        <f t="shared" si="4"/>
        <v>0</v>
      </c>
      <c r="Q36" s="179">
        <f t="shared" si="5"/>
        <v>0</v>
      </c>
    </row>
    <row r="37" spans="1:17" ht="10.35" customHeight="1" x14ac:dyDescent="0.25">
      <c r="A37" s="143" t="s">
        <v>1940</v>
      </c>
      <c r="B37" s="551" t="s">
        <v>409</v>
      </c>
      <c r="C37" s="703" t="s">
        <v>2808</v>
      </c>
      <c r="D37" s="576" t="s">
        <v>48</v>
      </c>
      <c r="E37" s="148"/>
      <c r="F37" s="148"/>
      <c r="G37" s="684">
        <v>0</v>
      </c>
      <c r="H37" s="148"/>
      <c r="I37" s="148"/>
      <c r="J37" s="148"/>
      <c r="K37" s="149"/>
      <c r="L37" s="684">
        <v>0</v>
      </c>
      <c r="M37" s="148"/>
      <c r="N37" s="148"/>
      <c r="O37" s="546"/>
      <c r="P37" s="181">
        <f t="shared" si="4"/>
        <v>0</v>
      </c>
      <c r="Q37" s="182">
        <f t="shared" si="5"/>
        <v>0</v>
      </c>
    </row>
    <row r="38" spans="1:17" ht="15" customHeight="1" x14ac:dyDescent="0.25">
      <c r="A38" s="143" t="s">
        <v>1593</v>
      </c>
      <c r="B38" s="559" t="s">
        <v>410</v>
      </c>
      <c r="C38" s="706" t="s">
        <v>2809</v>
      </c>
      <c r="D38" s="576" t="s">
        <v>48</v>
      </c>
      <c r="E38" s="144"/>
      <c r="F38" s="144"/>
      <c r="G38" s="144"/>
      <c r="H38" s="144"/>
      <c r="I38" s="144"/>
      <c r="J38" s="144"/>
      <c r="K38" s="144"/>
      <c r="L38" s="144"/>
      <c r="M38" s="144"/>
      <c r="N38" s="144"/>
      <c r="O38" s="546"/>
      <c r="P38" s="181">
        <f t="shared" si="4"/>
        <v>0</v>
      </c>
      <c r="Q38" s="182">
        <f t="shared" si="5"/>
        <v>0</v>
      </c>
    </row>
    <row r="39" spans="1:17" ht="15" customHeight="1" x14ac:dyDescent="0.25">
      <c r="A39" s="143" t="s">
        <v>1594</v>
      </c>
      <c r="B39" s="559" t="s">
        <v>33</v>
      </c>
      <c r="C39" s="706" t="s">
        <v>2810</v>
      </c>
      <c r="D39" s="576" t="s">
        <v>48</v>
      </c>
      <c r="E39" s="148"/>
      <c r="F39" s="148"/>
      <c r="G39" s="148"/>
      <c r="H39" s="148"/>
      <c r="I39" s="148"/>
      <c r="J39" s="148"/>
      <c r="K39" s="148"/>
      <c r="L39" s="148"/>
      <c r="M39" s="148"/>
      <c r="N39" s="148"/>
      <c r="O39" s="546"/>
      <c r="P39" s="181">
        <f t="shared" si="4"/>
        <v>0</v>
      </c>
      <c r="Q39" s="182">
        <f t="shared" si="5"/>
        <v>0</v>
      </c>
    </row>
    <row r="40" spans="1:17" ht="14.25" x14ac:dyDescent="0.25">
      <c r="A40" s="143" t="s">
        <v>1954</v>
      </c>
      <c r="B40" s="564" t="s">
        <v>411</v>
      </c>
      <c r="C40" s="709" t="s">
        <v>2811</v>
      </c>
      <c r="D40" s="578" t="s">
        <v>48</v>
      </c>
      <c r="E40" s="150"/>
      <c r="F40" s="150"/>
      <c r="G40" s="150"/>
      <c r="H40" s="150"/>
      <c r="I40" s="150"/>
      <c r="J40" s="150"/>
      <c r="K40" s="150"/>
      <c r="L40" s="150"/>
      <c r="M40" s="150"/>
      <c r="N40" s="150"/>
      <c r="O40" s="546"/>
      <c r="P40" s="186">
        <f t="shared" si="4"/>
        <v>0</v>
      </c>
      <c r="Q40" s="187">
        <f t="shared" si="5"/>
        <v>0</v>
      </c>
    </row>
    <row r="41" spans="1:17" ht="14.25" x14ac:dyDescent="0.25">
      <c r="A41" s="143"/>
      <c r="B41" s="591" t="s">
        <v>990</v>
      </c>
      <c r="C41" s="700" t="s">
        <v>2768</v>
      </c>
      <c r="D41" s="575" t="s">
        <v>48</v>
      </c>
      <c r="E41" s="543"/>
      <c r="F41" s="543"/>
      <c r="G41" s="544"/>
      <c r="H41" s="543"/>
      <c r="I41" s="544"/>
      <c r="J41" s="543"/>
      <c r="K41" s="544"/>
      <c r="L41" s="543"/>
      <c r="M41" s="545"/>
      <c r="N41" s="543"/>
      <c r="O41" s="546"/>
      <c r="P41" s="178"/>
      <c r="Q41" s="179"/>
    </row>
    <row r="42" spans="1:17" ht="10.35" customHeight="1" x14ac:dyDescent="0.25">
      <c r="A42" s="143" t="s">
        <v>2452</v>
      </c>
      <c r="B42" s="549" t="s">
        <v>2451</v>
      </c>
      <c r="C42" s="702" t="s">
        <v>2812</v>
      </c>
      <c r="D42" s="575" t="s">
        <v>48</v>
      </c>
      <c r="E42" s="90"/>
      <c r="F42" s="90"/>
      <c r="G42" s="90"/>
      <c r="H42" s="90"/>
      <c r="I42" s="90"/>
      <c r="J42" s="90"/>
      <c r="K42" s="90"/>
      <c r="L42" s="90"/>
      <c r="M42" s="90"/>
      <c r="N42" s="90"/>
      <c r="O42" s="546"/>
      <c r="P42" s="178">
        <f>IF(OR(H42="NA",E42="NA",F42="NA",G42="NA"),"NA",SUM(H42)-SUM(E42:G42))</f>
        <v>0</v>
      </c>
      <c r="Q42" s="179">
        <f>IF(OR(M42="NA",H42="NA",I42="NA",J42="NA",K42="NA",L42="NA"),"NA",SUM(M42)-SUM(H42:L42))</f>
        <v>0</v>
      </c>
    </row>
    <row r="43" spans="1:17" ht="10.35" customHeight="1" x14ac:dyDescent="0.25">
      <c r="A43" s="139" t="s">
        <v>1955</v>
      </c>
      <c r="B43" s="536" t="s">
        <v>378</v>
      </c>
      <c r="C43" s="710" t="s">
        <v>2773</v>
      </c>
      <c r="D43" s="579" t="s">
        <v>48</v>
      </c>
      <c r="E43" s="153"/>
      <c r="F43" s="153"/>
      <c r="G43" s="157"/>
      <c r="H43" s="153"/>
      <c r="I43" s="157"/>
      <c r="J43" s="153"/>
      <c r="K43" s="147"/>
      <c r="L43" s="146"/>
      <c r="M43" s="146"/>
      <c r="N43" s="146"/>
      <c r="O43" s="546"/>
      <c r="P43" s="188">
        <f>IF(OR(H43="NA",E43="NA",F43="NA",G43="NA"),"NA",SUM(H43)-SUM(E43:G43))</f>
        <v>0</v>
      </c>
      <c r="Q43" s="189">
        <f>IF(OR(M43="NA",H43="NA",I43="NA",J43="NA",K43="NA",L43="NA"),"NA",SUM(M43)-SUM(H43:L43))</f>
        <v>0</v>
      </c>
    </row>
    <row r="44" spans="1:17" s="165" customFormat="1" ht="10.5" customHeight="1" x14ac:dyDescent="0.25">
      <c r="B44" s="580"/>
      <c r="C44" s="531"/>
      <c r="D44" s="531"/>
      <c r="E44" s="581"/>
      <c r="F44" s="581"/>
      <c r="G44" s="581"/>
      <c r="H44" s="581"/>
      <c r="I44" s="581"/>
      <c r="J44" s="581"/>
      <c r="K44" s="581"/>
      <c r="L44" s="581"/>
      <c r="M44" s="581"/>
      <c r="N44" s="581"/>
      <c r="O44" s="581"/>
      <c r="P44" s="192"/>
      <c r="Q44" s="192"/>
    </row>
    <row r="45" spans="1:17" s="193" customFormat="1" ht="15" customHeight="1" x14ac:dyDescent="0.2">
      <c r="B45" s="696" t="s">
        <v>2814</v>
      </c>
      <c r="C45" s="195"/>
      <c r="D45" s="195"/>
      <c r="E45" s="196"/>
      <c r="F45" s="196"/>
      <c r="G45" s="196"/>
      <c r="H45" s="196"/>
      <c r="I45" s="196"/>
      <c r="J45" s="196"/>
      <c r="K45" s="196"/>
      <c r="L45" s="196"/>
      <c r="M45" s="196"/>
      <c r="N45" s="197"/>
      <c r="O45" s="198"/>
      <c r="P45" s="199"/>
      <c r="Q45" s="199"/>
    </row>
    <row r="46" spans="1:17" ht="10.9" customHeight="1" x14ac:dyDescent="0.2">
      <c r="B46" s="697" t="s">
        <v>2775</v>
      </c>
      <c r="C46" s="103"/>
      <c r="E46" s="201"/>
      <c r="F46" s="201"/>
      <c r="G46" s="201"/>
      <c r="H46" s="201"/>
      <c r="I46" s="201"/>
      <c r="J46" s="201"/>
      <c r="K46" s="201"/>
      <c r="L46" s="201"/>
      <c r="M46" s="201"/>
      <c r="N46" s="201"/>
      <c r="O46" s="202"/>
      <c r="P46" s="202"/>
      <c r="Q46" s="202"/>
    </row>
    <row r="47" spans="1:17" ht="10.9" customHeight="1" x14ac:dyDescent="0.2">
      <c r="B47" s="190"/>
      <c r="C47" s="136" t="s">
        <v>722</v>
      </c>
      <c r="E47" s="203">
        <f t="shared" ref="E47:N47" si="6">IF(OR(E22="NA",E9="NA",E14="NA"),"NA",-SUM(E22)+SUM(E9)-SUM(E14))</f>
        <v>0</v>
      </c>
      <c r="F47" s="203">
        <f t="shared" si="6"/>
        <v>0</v>
      </c>
      <c r="G47" s="203">
        <f t="shared" si="6"/>
        <v>0</v>
      </c>
      <c r="H47" s="203">
        <f t="shared" si="6"/>
        <v>0</v>
      </c>
      <c r="I47" s="203">
        <f t="shared" si="6"/>
        <v>0</v>
      </c>
      <c r="J47" s="203">
        <f t="shared" si="6"/>
        <v>0</v>
      </c>
      <c r="K47" s="203">
        <f t="shared" si="6"/>
        <v>0</v>
      </c>
      <c r="L47" s="203">
        <f t="shared" si="6"/>
        <v>0</v>
      </c>
      <c r="M47" s="203">
        <f t="shared" si="6"/>
        <v>0</v>
      </c>
      <c r="N47" s="203">
        <f t="shared" si="6"/>
        <v>0</v>
      </c>
      <c r="O47" s="202"/>
      <c r="P47" s="202"/>
      <c r="Q47" s="202"/>
    </row>
    <row r="48" spans="1:17" ht="10.9" customHeight="1" x14ac:dyDescent="0.2">
      <c r="B48" s="190"/>
      <c r="C48" s="136" t="s">
        <v>971</v>
      </c>
      <c r="E48" s="203">
        <f t="shared" ref="E48:N48" si="7">IF(OR(E30="NA",E9="NA",E14="NA",E24="NA"),"NA",-SUM(E30)+SUM(E9)-SUM(E14)-SUM(E24))</f>
        <v>0</v>
      </c>
      <c r="F48" s="203">
        <f t="shared" si="7"/>
        <v>0</v>
      </c>
      <c r="G48" s="203">
        <f t="shared" si="7"/>
        <v>0</v>
      </c>
      <c r="H48" s="203">
        <f t="shared" si="7"/>
        <v>0</v>
      </c>
      <c r="I48" s="203">
        <f t="shared" si="7"/>
        <v>0</v>
      </c>
      <c r="J48" s="203">
        <f t="shared" si="7"/>
        <v>0</v>
      </c>
      <c r="K48" s="203">
        <f t="shared" si="7"/>
        <v>0</v>
      </c>
      <c r="L48" s="203">
        <f t="shared" si="7"/>
        <v>0</v>
      </c>
      <c r="M48" s="203">
        <f t="shared" si="7"/>
        <v>0</v>
      </c>
      <c r="N48" s="203">
        <f t="shared" si="7"/>
        <v>0</v>
      </c>
      <c r="O48" s="202"/>
      <c r="P48" s="202"/>
      <c r="Q48" s="202"/>
    </row>
    <row r="49" spans="2:17" ht="10.9" customHeight="1" x14ac:dyDescent="0.2">
      <c r="B49" s="190"/>
      <c r="C49" s="136" t="s">
        <v>972</v>
      </c>
      <c r="E49" s="203">
        <f t="shared" ref="E49:N49" si="8">IF(OR(E30="NA",E9="NA",E29="NA"),"NA",-SUM(E30)+SUM(E9)-SUM(E29))</f>
        <v>0</v>
      </c>
      <c r="F49" s="203">
        <f t="shared" si="8"/>
        <v>0</v>
      </c>
      <c r="G49" s="203">
        <f t="shared" si="8"/>
        <v>0</v>
      </c>
      <c r="H49" s="203">
        <f t="shared" si="8"/>
        <v>0</v>
      </c>
      <c r="I49" s="203">
        <f t="shared" si="8"/>
        <v>0</v>
      </c>
      <c r="J49" s="203">
        <f t="shared" si="8"/>
        <v>0</v>
      </c>
      <c r="K49" s="203">
        <f t="shared" si="8"/>
        <v>0</v>
      </c>
      <c r="L49" s="203">
        <f t="shared" si="8"/>
        <v>0</v>
      </c>
      <c r="M49" s="203">
        <f t="shared" si="8"/>
        <v>0</v>
      </c>
      <c r="N49" s="203">
        <f t="shared" si="8"/>
        <v>0</v>
      </c>
      <c r="O49" s="202"/>
      <c r="P49" s="202"/>
      <c r="Q49" s="202"/>
    </row>
    <row r="50" spans="2:17" ht="10.9" customHeight="1" x14ac:dyDescent="0.2">
      <c r="B50" s="190"/>
      <c r="C50" s="136" t="s">
        <v>973</v>
      </c>
      <c r="E50" s="203">
        <f t="shared" ref="E50:N50" si="9">IF(OR(E38="NA",E35="NA",E32="NA"),"NA",-SUM(E38)+SUM(E35)-SUM(E32))</f>
        <v>0</v>
      </c>
      <c r="F50" s="203">
        <f t="shared" si="9"/>
        <v>0</v>
      </c>
      <c r="G50" s="203">
        <f t="shared" si="9"/>
        <v>0</v>
      </c>
      <c r="H50" s="203">
        <f t="shared" si="9"/>
        <v>0</v>
      </c>
      <c r="I50" s="203">
        <f t="shared" si="9"/>
        <v>0</v>
      </c>
      <c r="J50" s="203">
        <f t="shared" si="9"/>
        <v>0</v>
      </c>
      <c r="K50" s="203">
        <f t="shared" si="9"/>
        <v>0</v>
      </c>
      <c r="L50" s="203">
        <f t="shared" si="9"/>
        <v>0</v>
      </c>
      <c r="M50" s="203">
        <f t="shared" si="9"/>
        <v>0</v>
      </c>
      <c r="N50" s="203">
        <f t="shared" si="9"/>
        <v>0</v>
      </c>
      <c r="O50" s="202"/>
      <c r="P50" s="202"/>
      <c r="Q50" s="202"/>
    </row>
    <row r="51" spans="2:17" ht="10.9" customHeight="1" x14ac:dyDescent="0.2">
      <c r="B51" s="190"/>
      <c r="C51" s="136" t="s">
        <v>723</v>
      </c>
      <c r="E51" s="203">
        <f t="shared" ref="E51:N51" si="10">IF(OR(E39="NA",E30="NA",E38="NA",E40="NA"),"NA",-SUM(E39)+SUM(E30)+SUM(E38)+SUM(E40))</f>
        <v>0</v>
      </c>
      <c r="F51" s="203">
        <f t="shared" si="10"/>
        <v>0</v>
      </c>
      <c r="G51" s="203">
        <f t="shared" si="10"/>
        <v>0</v>
      </c>
      <c r="H51" s="203">
        <f t="shared" si="10"/>
        <v>0</v>
      </c>
      <c r="I51" s="203">
        <f t="shared" si="10"/>
        <v>0</v>
      </c>
      <c r="J51" s="203">
        <f t="shared" si="10"/>
        <v>0</v>
      </c>
      <c r="K51" s="203">
        <f t="shared" si="10"/>
        <v>0</v>
      </c>
      <c r="L51" s="203">
        <f t="shared" si="10"/>
        <v>0</v>
      </c>
      <c r="M51" s="203">
        <f t="shared" si="10"/>
        <v>0</v>
      </c>
      <c r="N51" s="203">
        <f t="shared" si="10"/>
        <v>0</v>
      </c>
      <c r="O51" s="202"/>
      <c r="P51" s="202"/>
      <c r="Q51" s="202"/>
    </row>
    <row r="52" spans="2:17" ht="10.9" customHeight="1" x14ac:dyDescent="0.2">
      <c r="B52" s="190"/>
      <c r="C52" s="103" t="s">
        <v>2629</v>
      </c>
      <c r="E52" s="203">
        <f t="shared" ref="E52:N52" si="11">IF(OR(E14="NA",E9="NA",E40="NA",E38="NA",E39="NA",E24="NA"),"NA",-SUM(E14)+SUM(E9)+SUM(E40)+SUM(E38)-SUM(E39)-SUM(E24))</f>
        <v>0</v>
      </c>
      <c r="F52" s="203">
        <f t="shared" si="11"/>
        <v>0</v>
      </c>
      <c r="G52" s="203">
        <f t="shared" si="11"/>
        <v>0</v>
      </c>
      <c r="H52" s="203">
        <f t="shared" si="11"/>
        <v>0</v>
      </c>
      <c r="I52" s="203">
        <f t="shared" si="11"/>
        <v>0</v>
      </c>
      <c r="J52" s="203">
        <f t="shared" si="11"/>
        <v>0</v>
      </c>
      <c r="K52" s="203">
        <f t="shared" si="11"/>
        <v>0</v>
      </c>
      <c r="L52" s="203">
        <f t="shared" si="11"/>
        <v>0</v>
      </c>
      <c r="M52" s="203">
        <f t="shared" si="11"/>
        <v>0</v>
      </c>
      <c r="N52" s="203">
        <f t="shared" si="11"/>
        <v>0</v>
      </c>
      <c r="O52" s="202"/>
      <c r="P52" s="202"/>
      <c r="Q52" s="202"/>
    </row>
    <row r="53" spans="2:17" ht="10.9" customHeight="1" x14ac:dyDescent="0.2">
      <c r="B53" s="204"/>
      <c r="C53" s="140" t="s">
        <v>2630</v>
      </c>
      <c r="D53" s="205"/>
      <c r="E53" s="206">
        <f t="shared" ref="E53:N53" si="12">IF(OR(E29="NA",E9="NA",E40="NA",E38="NA",E39="NA"),"NA",-SUM(E29)+SUM(E9)+SUM(E40)+SUM(E38)-SUM(E39))</f>
        <v>0</v>
      </c>
      <c r="F53" s="206">
        <f t="shared" si="12"/>
        <v>0</v>
      </c>
      <c r="G53" s="206">
        <f t="shared" si="12"/>
        <v>0</v>
      </c>
      <c r="H53" s="206">
        <f t="shared" si="12"/>
        <v>0</v>
      </c>
      <c r="I53" s="206">
        <f t="shared" si="12"/>
        <v>0</v>
      </c>
      <c r="J53" s="206">
        <f t="shared" si="12"/>
        <v>0</v>
      </c>
      <c r="K53" s="206">
        <f t="shared" si="12"/>
        <v>0</v>
      </c>
      <c r="L53" s="206">
        <f t="shared" si="12"/>
        <v>0</v>
      </c>
      <c r="M53" s="206">
        <f t="shared" si="12"/>
        <v>0</v>
      </c>
      <c r="N53" s="206">
        <f t="shared" si="12"/>
        <v>0</v>
      </c>
      <c r="O53" s="202"/>
      <c r="P53" s="202"/>
      <c r="Q53" s="202"/>
    </row>
    <row r="54" spans="2:17" ht="10.9" customHeight="1" x14ac:dyDescent="0.2">
      <c r="B54" s="697" t="s">
        <v>2776</v>
      </c>
      <c r="C54" s="103"/>
      <c r="E54" s="203"/>
      <c r="F54" s="203"/>
      <c r="G54" s="203"/>
      <c r="H54" s="203"/>
      <c r="I54" s="203"/>
      <c r="J54" s="203"/>
      <c r="K54" s="203"/>
      <c r="L54" s="203"/>
      <c r="M54" s="203"/>
      <c r="N54" s="203"/>
      <c r="O54" s="202"/>
      <c r="P54" s="202"/>
      <c r="Q54" s="202"/>
    </row>
    <row r="55" spans="2:17" ht="10.9" customHeight="1" x14ac:dyDescent="0.2">
      <c r="B55" s="190"/>
      <c r="C55" s="103" t="s">
        <v>974</v>
      </c>
      <c r="E55" s="203">
        <f t="shared" ref="E55:N55" si="13">IF(OR(E9="NA",E10="NA",E11="NA",E12="NA",E13="NA"),"NA",-SUM(E9)+SUM(E10)+SUM(E11)+SUM(E12)+SUM(E13))</f>
        <v>0</v>
      </c>
      <c r="F55" s="203">
        <f t="shared" si="13"/>
        <v>0</v>
      </c>
      <c r="G55" s="203">
        <f t="shared" si="13"/>
        <v>0</v>
      </c>
      <c r="H55" s="203">
        <f t="shared" si="13"/>
        <v>0</v>
      </c>
      <c r="I55" s="203">
        <f t="shared" si="13"/>
        <v>0</v>
      </c>
      <c r="J55" s="203">
        <f t="shared" si="13"/>
        <v>0</v>
      </c>
      <c r="K55" s="203">
        <f t="shared" si="13"/>
        <v>0</v>
      </c>
      <c r="L55" s="203">
        <f t="shared" si="13"/>
        <v>0</v>
      </c>
      <c r="M55" s="203">
        <f t="shared" si="13"/>
        <v>0</v>
      </c>
      <c r="N55" s="203">
        <f t="shared" si="13"/>
        <v>0</v>
      </c>
      <c r="O55" s="202"/>
      <c r="P55" s="202"/>
      <c r="Q55" s="202"/>
    </row>
    <row r="56" spans="2:17" ht="10.9" customHeight="1" x14ac:dyDescent="0.2">
      <c r="B56" s="190"/>
      <c r="C56" s="207" t="s">
        <v>1445</v>
      </c>
      <c r="E56" s="203">
        <f t="shared" ref="E56:N56" si="14">IF(OR(E15="NA",E16="NA",E17="NA",E18="NA",E19="NA",E20="NA",E21="NA"),"NA",-SUM(E14)+SUM(E15)+SUM(E16)+SUM(E17)+SUM(E18)+SUM(E19)+SUM(E20)+SUM(E21))</f>
        <v>0</v>
      </c>
      <c r="F56" s="203">
        <f t="shared" si="14"/>
        <v>0</v>
      </c>
      <c r="G56" s="203">
        <f t="shared" si="14"/>
        <v>0</v>
      </c>
      <c r="H56" s="203">
        <f t="shared" si="14"/>
        <v>0</v>
      </c>
      <c r="I56" s="203">
        <f t="shared" si="14"/>
        <v>0</v>
      </c>
      <c r="J56" s="203">
        <f t="shared" si="14"/>
        <v>0</v>
      </c>
      <c r="K56" s="203">
        <f t="shared" si="14"/>
        <v>0</v>
      </c>
      <c r="L56" s="203">
        <f t="shared" si="14"/>
        <v>0</v>
      </c>
      <c r="M56" s="203">
        <f t="shared" si="14"/>
        <v>0</v>
      </c>
      <c r="N56" s="203">
        <f t="shared" si="14"/>
        <v>0</v>
      </c>
      <c r="O56" s="202"/>
      <c r="P56" s="202"/>
      <c r="Q56" s="202"/>
    </row>
    <row r="57" spans="2:17" ht="10.9" customHeight="1" x14ac:dyDescent="0.2">
      <c r="B57" s="190"/>
      <c r="C57" s="207" t="s">
        <v>1446</v>
      </c>
      <c r="E57" s="203">
        <f t="shared" ref="E57:N57" si="15">IF(OR(E25="NA",E26="NA",E27="NA",E28="NA"),"NA",-SUM(E24)+SUM(E25)+SUM(E26)+SUM(E27)+SUM(E28))</f>
        <v>0</v>
      </c>
      <c r="F57" s="203">
        <f t="shared" si="15"/>
        <v>0</v>
      </c>
      <c r="G57" s="203">
        <f t="shared" si="15"/>
        <v>0</v>
      </c>
      <c r="H57" s="203">
        <f t="shared" si="15"/>
        <v>0</v>
      </c>
      <c r="I57" s="203">
        <f t="shared" si="15"/>
        <v>0</v>
      </c>
      <c r="J57" s="203">
        <f t="shared" si="15"/>
        <v>0</v>
      </c>
      <c r="K57" s="203">
        <f t="shared" si="15"/>
        <v>0</v>
      </c>
      <c r="L57" s="203">
        <f t="shared" si="15"/>
        <v>0</v>
      </c>
      <c r="M57" s="203">
        <f t="shared" si="15"/>
        <v>0</v>
      </c>
      <c r="N57" s="203">
        <f t="shared" si="15"/>
        <v>0</v>
      </c>
      <c r="O57" s="202"/>
      <c r="P57" s="202"/>
      <c r="Q57" s="202"/>
    </row>
    <row r="58" spans="2:17" ht="10.9" customHeight="1" x14ac:dyDescent="0.2">
      <c r="B58" s="190"/>
      <c r="C58" s="207" t="s">
        <v>1447</v>
      </c>
      <c r="E58" s="203">
        <f t="shared" ref="E58:N58" si="16">IF(OR(E32="NA",E33="NA",E34="NA"),"NA",-SUM(E32)+SUM(E33)+SUM(E34))</f>
        <v>0</v>
      </c>
      <c r="F58" s="203">
        <f t="shared" si="16"/>
        <v>0</v>
      </c>
      <c r="G58" s="203">
        <f t="shared" si="16"/>
        <v>0</v>
      </c>
      <c r="H58" s="203">
        <f t="shared" si="16"/>
        <v>0</v>
      </c>
      <c r="I58" s="203">
        <f t="shared" si="16"/>
        <v>0</v>
      </c>
      <c r="J58" s="203">
        <f t="shared" si="16"/>
        <v>0</v>
      </c>
      <c r="K58" s="203">
        <f t="shared" si="16"/>
        <v>0</v>
      </c>
      <c r="L58" s="203">
        <f t="shared" si="16"/>
        <v>0</v>
      </c>
      <c r="M58" s="203">
        <f t="shared" si="16"/>
        <v>0</v>
      </c>
      <c r="N58" s="203">
        <f t="shared" si="16"/>
        <v>0</v>
      </c>
      <c r="O58" s="202"/>
      <c r="P58" s="202"/>
      <c r="Q58" s="202"/>
    </row>
    <row r="59" spans="2:17" ht="10.9" customHeight="1" x14ac:dyDescent="0.2">
      <c r="B59" s="204"/>
      <c r="C59" s="208" t="s">
        <v>1448</v>
      </c>
      <c r="D59" s="205"/>
      <c r="E59" s="203">
        <f t="shared" ref="E59:N59" si="17">IF(OR(E35="NA",E36="NA",E37="NA"),"NA",-SUM(E35)+SUM(E36)+SUM(E37))</f>
        <v>0</v>
      </c>
      <c r="F59" s="203">
        <f t="shared" si="17"/>
        <v>0</v>
      </c>
      <c r="G59" s="203">
        <f t="shared" si="17"/>
        <v>0</v>
      </c>
      <c r="H59" s="203">
        <f t="shared" si="17"/>
        <v>0</v>
      </c>
      <c r="I59" s="203">
        <f t="shared" si="17"/>
        <v>0</v>
      </c>
      <c r="J59" s="203">
        <f t="shared" si="17"/>
        <v>0</v>
      </c>
      <c r="K59" s="203">
        <f t="shared" si="17"/>
        <v>0</v>
      </c>
      <c r="L59" s="203">
        <f t="shared" si="17"/>
        <v>0</v>
      </c>
      <c r="M59" s="203">
        <f t="shared" si="17"/>
        <v>0</v>
      </c>
      <c r="N59" s="203">
        <f t="shared" si="17"/>
        <v>0</v>
      </c>
      <c r="O59" s="202"/>
      <c r="P59" s="202"/>
      <c r="Q59" s="202"/>
    </row>
    <row r="60" spans="2:17" ht="10.9" customHeight="1" x14ac:dyDescent="0.2">
      <c r="B60" s="697" t="s">
        <v>2816</v>
      </c>
      <c r="C60" s="103"/>
      <c r="E60" s="203"/>
      <c r="F60" s="203"/>
      <c r="G60" s="203"/>
      <c r="H60" s="203"/>
      <c r="I60" s="203"/>
      <c r="J60" s="203"/>
      <c r="K60" s="203"/>
      <c r="L60" s="203"/>
      <c r="M60" s="203"/>
      <c r="N60" s="203"/>
      <c r="O60" s="202"/>
      <c r="P60" s="202"/>
      <c r="Q60" s="202"/>
    </row>
    <row r="61" spans="2:17" ht="10.9" customHeight="1" x14ac:dyDescent="0.2">
      <c r="B61" s="190"/>
      <c r="C61" s="714" t="s">
        <v>2817</v>
      </c>
      <c r="E61" s="203">
        <f>IF(OR(E9="NA",Table1!E8="NA"),"NA",-SUM(E9)+SUM(Table1!E8))</f>
        <v>173439.89350200002</v>
      </c>
      <c r="F61" s="203">
        <f>IF(OR(F9="NA",Table1!F8="NA"),"NA",-SUM(F9)+SUM(Table1!F8))</f>
        <v>4702.7162149999995</v>
      </c>
      <c r="G61" s="203">
        <f>IF(OR(G9="NA",Table1!G8="NA"),"NA",-SUM(G9)+SUM(Table1!G8))</f>
        <v>-3092.7434559999992</v>
      </c>
      <c r="H61" s="203">
        <f>IF(OR(H9="NA",Table1!H8="NA"),"NA",-SUM(H9)+SUM(Table1!H8))</f>
        <v>175049.90018200001</v>
      </c>
      <c r="I61" s="203">
        <f>IF(OR(I9="NA",Table1!I8="NA"),"NA",-SUM(I9)+SUM(Table1!I8))</f>
        <v>3491.5217659999989</v>
      </c>
      <c r="J61" s="203">
        <f>IF(OR(J9="NA",Table1!J8="NA"),"NA",-SUM(J9)+SUM(Table1!J8))</f>
        <v>30293.641395999999</v>
      </c>
      <c r="K61" s="203">
        <f>IF(OR(K9="NA",Table1!K8="NA"),"NA",-SUM(K9)+SUM(Table1!K8))</f>
        <v>67712.795551999996</v>
      </c>
      <c r="L61" s="203">
        <f>IF(OR(L9="NA",Table1!L8="NA"),"NA",-SUM(L9)+SUM(Table1!L8))</f>
        <v>-56116.724443999992</v>
      </c>
      <c r="M61" s="203">
        <f>IF(OR(M9="NA",Table1!M8="NA"),"NA",-SUM(M9)+SUM(Table1!M8))</f>
        <v>220431.13445199997</v>
      </c>
      <c r="N61" s="203">
        <f>IF(OR(N9="NA",Table1!N8="NA"),"NA",-SUM(N9)+SUM(Table1!N8))</f>
        <v>178541.421948</v>
      </c>
      <c r="O61" s="202"/>
      <c r="P61" s="202"/>
      <c r="Q61" s="202"/>
    </row>
    <row r="62" spans="2:17" ht="10.9" customHeight="1" x14ac:dyDescent="0.2">
      <c r="B62" s="190"/>
      <c r="C62" s="714" t="s">
        <v>2818</v>
      </c>
      <c r="E62" s="203">
        <f>IF(OR(E10="NA",Table1!E9="NA"),"NA",-SUM(E10)+SUM(Table1!E9))</f>
        <v>118258.00818700001</v>
      </c>
      <c r="F62" s="203">
        <f>IF(OR(F10="NA",Table1!F9="NA"),"NA",-SUM(F10)+SUM(Table1!F9))</f>
        <v>267.65703600000001</v>
      </c>
      <c r="G62" s="203">
        <f>IF(OR(G10="NA",Table1!G9="NA"),"NA",-SUM(G10)+SUM(Table1!G9))</f>
        <v>-40.992016</v>
      </c>
      <c r="H62" s="203">
        <f>IF(OR(H10="NA",Table1!H9="NA"),"NA",-SUM(H10)+SUM(Table1!H9))</f>
        <v>118484.70712800001</v>
      </c>
      <c r="I62" s="203">
        <f>IF(OR(I10="NA",Table1!I9="NA"),"NA",-SUM(I10)+SUM(Table1!I9))</f>
        <v>0</v>
      </c>
      <c r="J62" s="203">
        <f>IF(OR(J10="NA",Table1!J9="NA"),"NA",-SUM(J10)+SUM(Table1!J9))</f>
        <v>7609.9916949999997</v>
      </c>
      <c r="K62" s="203">
        <f>IF(OR(K10="NA",Table1!K9="NA"),"NA",-SUM(K10)+SUM(Table1!K9))</f>
        <v>20842.438086999999</v>
      </c>
      <c r="L62" s="203">
        <f>IF(OR(L10="NA",Table1!L9="NA"),"NA",-SUM(L10)+SUM(Table1!L9))</f>
        <v>-1090.3411530000001</v>
      </c>
      <c r="M62" s="203">
        <f>IF(OR(M10="NA",Table1!M9="NA"),"NA",-SUM(M10)+SUM(Table1!M9))</f>
        <v>145846.79575699999</v>
      </c>
      <c r="N62" s="203">
        <f>IF(OR(N10="NA",Table1!N9="NA"),"NA",-SUM(N10)+SUM(Table1!N9))</f>
        <v>118484.70712800001</v>
      </c>
      <c r="O62" s="202"/>
      <c r="P62" s="202"/>
      <c r="Q62" s="202"/>
    </row>
    <row r="63" spans="2:17" ht="10.9" customHeight="1" x14ac:dyDescent="0.2">
      <c r="B63" s="190"/>
      <c r="C63" s="714" t="s">
        <v>2819</v>
      </c>
      <c r="E63" s="203">
        <f>IF(OR(E11="NA",Table1!E42="NA"),"NA",-SUM(E11)+SUM(Table1!E42))</f>
        <v>15658.961817000001</v>
      </c>
      <c r="F63" s="203">
        <f>IF(OR(F11="NA",Table1!F42="NA"),"NA",-SUM(F11)+SUM(Table1!F42))</f>
        <v>69.824678000000006</v>
      </c>
      <c r="G63" s="203">
        <f>IF(OR(G11="NA",Table1!G42="NA"),"NA",-SUM(G11)+SUM(Table1!G42))</f>
        <v>0</v>
      </c>
      <c r="H63" s="203">
        <f>IF(OR(H11="NA",Table1!H42="NA"),"NA",-SUM(H11)+SUM(Table1!H42))</f>
        <v>15728.786495</v>
      </c>
      <c r="I63" s="203">
        <f>IF(OR(I11="NA",Table1!I42="NA"),"NA",-SUM(I11)+SUM(Table1!I42))</f>
        <v>0</v>
      </c>
      <c r="J63" s="203">
        <f>IF(OR(J11="NA",Table1!J42="NA"),"NA",-SUM(J11)+SUM(Table1!J42))</f>
        <v>0.28147</v>
      </c>
      <c r="K63" s="203">
        <f>IF(OR(K11="NA",Table1!K42="NA"),"NA",-SUM(K11)+SUM(Table1!K42))</f>
        <v>0</v>
      </c>
      <c r="L63" s="203">
        <f>IF(OR(L11="NA",Table1!L42="NA"),"NA",-SUM(L11)+SUM(Table1!L42))</f>
        <v>0</v>
      </c>
      <c r="M63" s="203">
        <f>IF(OR(M11="NA",Table1!M42="NA"),"NA",-SUM(M11)+SUM(Table1!M42))</f>
        <v>15729.067965</v>
      </c>
      <c r="N63" s="203">
        <f>IF(OR(N11="NA",Table1!N42="NA"),"NA",-SUM(N11)+SUM(Table1!N42))</f>
        <v>15728.786495</v>
      </c>
      <c r="O63" s="202"/>
      <c r="P63" s="202"/>
      <c r="Q63" s="202"/>
    </row>
    <row r="64" spans="2:17" ht="10.9" customHeight="1" x14ac:dyDescent="0.2">
      <c r="B64" s="190"/>
      <c r="C64" s="714" t="s">
        <v>2820</v>
      </c>
      <c r="E64" s="203">
        <f>IF(OR(E12="NA",Table1!E52="NA"),"NA",-SUM(E12)+SUM(Table1!E52))</f>
        <v>945.68216200000006</v>
      </c>
      <c r="F64" s="203">
        <f>IF(OR(F12="NA",Table1!F52="NA"),"NA",-SUM(F12)+SUM(Table1!F52))</f>
        <v>2749.944137</v>
      </c>
      <c r="G64" s="203">
        <f>IF(OR(G12="NA",Table1!G52="NA"),"NA",-SUM(G12)+SUM(Table1!G52))</f>
        <v>-2774.6789039999999</v>
      </c>
      <c r="H64" s="203">
        <f>IF(OR(H12="NA",Table1!H52="NA"),"NA",-SUM(H12)+SUM(Table1!H52))</f>
        <v>920.94739499999991</v>
      </c>
      <c r="I64" s="203">
        <f>IF(OR(I12="NA",Table1!I52="NA"),"NA",-SUM(I12)+SUM(Table1!I52))</f>
        <v>1098.7212459999998</v>
      </c>
      <c r="J64" s="203">
        <f>IF(OR(J12="NA",Table1!J52="NA"),"NA",-SUM(J12)+SUM(Table1!J52))</f>
        <v>16974.117071000001</v>
      </c>
      <c r="K64" s="203">
        <f>IF(OR(K12="NA",Table1!K52="NA"),"NA",-SUM(K12)+SUM(Table1!K52))</f>
        <v>36732.511713</v>
      </c>
      <c r="L64" s="203">
        <f>IF(OR(L12="NA",Table1!L52="NA"),"NA",-SUM(L12)+SUM(Table1!L52))</f>
        <v>-53899.312476999992</v>
      </c>
      <c r="M64" s="203">
        <f>IF(OR(M12="NA",Table1!M52="NA"),"NA",-SUM(M12)+SUM(Table1!M52))</f>
        <v>1826.9849480000062</v>
      </c>
      <c r="N64" s="203">
        <f>IF(OR(N12="NA",Table1!N52="NA"),"NA",-SUM(N12)+SUM(Table1!N52))</f>
        <v>2019.6686409999998</v>
      </c>
      <c r="O64" s="202"/>
      <c r="P64" s="202"/>
      <c r="Q64" s="202"/>
    </row>
    <row r="65" spans="2:17" ht="10.9" customHeight="1" x14ac:dyDescent="0.2">
      <c r="B65" s="190"/>
      <c r="C65" s="714" t="s">
        <v>2821</v>
      </c>
      <c r="E65" s="203">
        <f>IF(OR(E13="NA",Table1!E62="NA"),"NA",-SUM(E13)+SUM(Table1!E62))</f>
        <v>38577.241336000006</v>
      </c>
      <c r="F65" s="203">
        <f>IF(OR(F13="NA",Table1!F62="NA"),"NA",-SUM(F13)+SUM(Table1!F62))</f>
        <v>1615.2903639999997</v>
      </c>
      <c r="G65" s="203">
        <f>IF(OR(G13="NA",Table1!G62="NA"),"NA",-SUM(G13)+SUM(Table1!G62))</f>
        <v>-277.0725359999991</v>
      </c>
      <c r="H65" s="203">
        <f>IF(OR(H13="NA",Table1!H62="NA"),"NA",-SUM(H13)+SUM(Table1!H62))</f>
        <v>39915.459164</v>
      </c>
      <c r="I65" s="203">
        <f>IF(OR(I13="NA",Table1!I62="NA"),"NA",-SUM(I13)+SUM(Table1!I62))</f>
        <v>2392.8005199999993</v>
      </c>
      <c r="J65" s="203">
        <f>IF(OR(J13="NA",Table1!J62="NA"),"NA",-SUM(J13)+SUM(Table1!J62))</f>
        <v>5709.2511600000007</v>
      </c>
      <c r="K65" s="203">
        <f>IF(OR(K13="NA",Table1!K62="NA"),"NA",-SUM(K13)+SUM(Table1!K62))</f>
        <v>10137.845751999999</v>
      </c>
      <c r="L65" s="203">
        <f>IF(OR(L13="NA",Table1!L62="NA"),"NA",-SUM(L13)+SUM(Table1!L62))</f>
        <v>-1127.0708139999988</v>
      </c>
      <c r="M65" s="203">
        <f>IF(OR(M13="NA",Table1!M62="NA"),"NA",-SUM(M13)+SUM(Table1!M62))</f>
        <v>57028.285781999992</v>
      </c>
      <c r="N65" s="203">
        <f>IF(OR(N13="NA",Table1!N62="NA"),"NA",-SUM(N13)+SUM(Table1!N62))</f>
        <v>42308.259683999997</v>
      </c>
      <c r="O65" s="202"/>
      <c r="P65" s="202"/>
      <c r="Q65" s="202"/>
    </row>
    <row r="66" spans="2:17" ht="10.9" customHeight="1" x14ac:dyDescent="0.2">
      <c r="B66" s="190"/>
      <c r="C66" s="714" t="s">
        <v>2822</v>
      </c>
      <c r="E66" s="203">
        <f>IF(OR(E14="NA",Table2!E8="NA"),"NA",-SUM(E14)+SUM(Table2!E8))</f>
        <v>214559.94608200001</v>
      </c>
      <c r="F66" s="203">
        <f>IF(OR(F14="NA",Table2!F8="NA"),"NA",-SUM(F14)+SUM(Table2!F8))</f>
        <v>4284.9701819999991</v>
      </c>
      <c r="G66" s="203">
        <f>IF(OR(G14="NA",Table2!G8="NA"),"NA",-SUM(G14)+SUM(Table2!G8))</f>
        <v>-3382.9422169999889</v>
      </c>
      <c r="H66" s="203">
        <f>IF(OR(H14="NA",Table2!H8="NA"),"NA",-SUM(H14)+SUM(Table2!H8))</f>
        <v>215461.974047</v>
      </c>
      <c r="I66" s="203">
        <f>IF(OR(I14="NA",Table2!I8="NA"),"NA",-SUM(I14)+SUM(Table2!I8))</f>
        <v>2740.9215799999997</v>
      </c>
      <c r="J66" s="203">
        <f>IF(OR(J14="NA",Table2!J8="NA"),"NA",-SUM(J14)+SUM(Table2!J8))</f>
        <v>26515.862986260134</v>
      </c>
      <c r="K66" s="203">
        <f>IF(OR(K14="NA",Table2!K8="NA"),"NA",-SUM(K14)+SUM(Table2!K8))</f>
        <v>60741.233942999999</v>
      </c>
      <c r="L66" s="203">
        <f>IF(OR(L14="NA",Table2!L8="NA"),"NA",-SUM(L14)+SUM(Table2!L8))</f>
        <v>-59207.460456000001</v>
      </c>
      <c r="M66" s="203">
        <f>IF(OR(M14="NA",Table2!M8="NA"),"NA",-SUM(M14)+SUM(Table2!M8))</f>
        <v>246252.53210026014</v>
      </c>
      <c r="N66" s="203">
        <f>IF(OR(N14="NA",Table2!N8="NA"),"NA",-SUM(N14)+SUM(Table2!N8))</f>
        <v>218202.89562699999</v>
      </c>
      <c r="O66" s="202"/>
      <c r="P66" s="202"/>
      <c r="Q66" s="202"/>
    </row>
    <row r="67" spans="2:17" ht="10.9" customHeight="1" x14ac:dyDescent="0.2">
      <c r="B67" s="190"/>
      <c r="C67" s="714" t="s">
        <v>2823</v>
      </c>
      <c r="E67" s="203">
        <f>IF(OR(E15="NA",Table2!E9="NA"),"NA",-SUM(E15)+SUM(Table2!E9))</f>
        <v>35917.665376000004</v>
      </c>
      <c r="F67" s="203">
        <f>IF(OR(F15="NA",Table2!F9="NA"),"NA",-SUM(F15)+SUM(Table2!F9))</f>
        <v>987.33614799999998</v>
      </c>
      <c r="G67" s="203">
        <f>IF(OR(G15="NA",Table2!G9="NA"),"NA",-SUM(G15)+SUM(Table2!G9))</f>
        <v>-3.7968399999999747</v>
      </c>
      <c r="H67" s="203">
        <f>IF(OR(H15="NA",Table2!H9="NA"),"NA",-SUM(H15)+SUM(Table2!H9))</f>
        <v>36901.204684000004</v>
      </c>
      <c r="I67" s="203">
        <f>IF(OR(I15="NA",Table2!I9="NA"),"NA",-SUM(I15)+SUM(Table2!I9))</f>
        <v>776.08519100000001</v>
      </c>
      <c r="J67" s="203">
        <f>IF(OR(J15="NA",Table2!J9="NA"),"NA",-SUM(J15)+SUM(Table2!J9))</f>
        <v>10327.566404000001</v>
      </c>
      <c r="K67" s="203">
        <f>IF(OR(K15="NA",Table2!K9="NA"),"NA",-SUM(K15)+SUM(Table2!K9))</f>
        <v>10452.570718999999</v>
      </c>
      <c r="L67" s="203">
        <f>IF(OR(L15="NA",Table2!L9="NA"),"NA",-SUM(L15)+SUM(Table2!L9))</f>
        <v>-3.9754190000003291</v>
      </c>
      <c r="M67" s="203">
        <f>IF(OR(M15="NA",Table2!M9="NA"),"NA",-SUM(M15)+SUM(Table2!M9))</f>
        <v>58453.451579</v>
      </c>
      <c r="N67" s="203">
        <f>IF(OR(N15="NA",Table2!N9="NA"),"NA",-SUM(N15)+SUM(Table2!N9))</f>
        <v>37677.289875000002</v>
      </c>
      <c r="O67" s="202"/>
      <c r="P67" s="202"/>
      <c r="Q67" s="202"/>
    </row>
    <row r="68" spans="2:17" ht="10.9" customHeight="1" x14ac:dyDescent="0.2">
      <c r="B68" s="190"/>
      <c r="C68" s="714" t="s">
        <v>2824</v>
      </c>
      <c r="E68" s="203">
        <f>IF(OR(E16="NA",Table2!E14="NA"),"NA",-SUM(E16)+SUM(Table2!E14))</f>
        <v>22662.600287000001</v>
      </c>
      <c r="F68" s="203">
        <f>IF(OR(F16="NA",Table2!F14="NA"),"NA",-SUM(F16)+SUM(Table2!F14))</f>
        <v>2734.6200859999999</v>
      </c>
      <c r="G68" s="203">
        <f>IF(OR(G16="NA",Table2!G14="NA"),"NA",-SUM(G16)+SUM(Table2!G14))</f>
        <v>-463.25719799999933</v>
      </c>
      <c r="H68" s="203">
        <f>IF(OR(H16="NA",Table2!H14="NA"),"NA",-SUM(H16)+SUM(Table2!H14))</f>
        <v>24933.963175000001</v>
      </c>
      <c r="I68" s="203">
        <f>IF(OR(I16="NA",Table2!I14="NA"),"NA",-SUM(I16)+SUM(Table2!I14))</f>
        <v>499.68318599999998</v>
      </c>
      <c r="J68" s="203">
        <f>IF(OR(J16="NA",Table2!J14="NA"),"NA",-SUM(J16)+SUM(Table2!J14))</f>
        <v>5401.4995310000004</v>
      </c>
      <c r="K68" s="203">
        <f>IF(OR(K16="NA",Table2!K14="NA"),"NA",-SUM(K16)+SUM(Table2!K14))</f>
        <v>13705.923046</v>
      </c>
      <c r="L68" s="203">
        <f>IF(OR(L16="NA",Table2!L14="NA"),"NA",-SUM(L16)+SUM(Table2!L14))</f>
        <v>-550.12917099999686</v>
      </c>
      <c r="M68" s="203">
        <f>IF(OR(M16="NA",Table2!M14="NA"),"NA",-SUM(M16)+SUM(Table2!M14))</f>
        <v>43990.939767000003</v>
      </c>
      <c r="N68" s="203">
        <f>IF(OR(N16="NA",Table2!N14="NA"),"NA",-SUM(N16)+SUM(Table2!N14))</f>
        <v>25433.646360999999</v>
      </c>
      <c r="O68" s="202"/>
      <c r="P68" s="202"/>
      <c r="Q68" s="202"/>
    </row>
    <row r="69" spans="2:17" ht="10.9" customHeight="1" x14ac:dyDescent="0.2">
      <c r="B69" s="190"/>
      <c r="C69" s="714" t="s">
        <v>2825</v>
      </c>
      <c r="E69" s="203">
        <f>IF(OR(E17="NA",Table2!E16="NA"),"NA",-SUM(E17)+SUM(Table2!E16))</f>
        <v>24099.318120999997</v>
      </c>
      <c r="F69" s="203">
        <f>IF(OR(F17="NA",Table2!F16="NA"),"NA",-SUM(F17)+SUM(Table2!F16))</f>
        <v>8.8091280000000012</v>
      </c>
      <c r="G69" s="203">
        <f>IF(OR(G17="NA",Table2!G16="NA"),"NA",-SUM(G17)+SUM(Table2!G16))</f>
        <v>0</v>
      </c>
      <c r="H69" s="203">
        <f>IF(OR(H17="NA",Table2!H16="NA"),"NA",-SUM(H17)+SUM(Table2!H16))</f>
        <v>24108.127248999994</v>
      </c>
      <c r="I69" s="203">
        <f>IF(OR(I17="NA",Table2!I16="NA"),"NA",-SUM(I17)+SUM(Table2!I16))</f>
        <v>4.6810000000000003E-3</v>
      </c>
      <c r="J69" s="203">
        <f>IF(OR(J17="NA",Table2!J16="NA"),"NA",-SUM(J17)+SUM(Table2!J16))</f>
        <v>383.09631499999995</v>
      </c>
      <c r="K69" s="203">
        <f>IF(OR(K17="NA",Table2!K16="NA"),"NA",-SUM(K17)+SUM(Table2!K16))</f>
        <v>646.20284500000002</v>
      </c>
      <c r="L69" s="203">
        <f>IF(OR(L17="NA",Table2!L16="NA"),"NA",-SUM(L17)+SUM(Table2!L16))</f>
        <v>-358.78285000000108</v>
      </c>
      <c r="M69" s="203">
        <f>IF(OR(M17="NA",Table2!M16="NA"),"NA",-SUM(M17)+SUM(Table2!M16))</f>
        <v>24778.648239999999</v>
      </c>
      <c r="N69" s="203">
        <f>IF(OR(N17="NA",Table2!N16="NA"),"NA",-SUM(N17)+SUM(Table2!N16))</f>
        <v>24108.131929999996</v>
      </c>
      <c r="O69" s="202"/>
      <c r="P69" s="202"/>
      <c r="Q69" s="202"/>
    </row>
    <row r="70" spans="2:17" ht="10.9" customHeight="1" x14ac:dyDescent="0.2">
      <c r="B70" s="190"/>
      <c r="C70" s="714" t="s">
        <v>2826</v>
      </c>
      <c r="E70" s="203">
        <f>IF(OR(E18="NA",Table2!E20="NA"),"NA",-SUM(E18)+SUM(Table2!E20))</f>
        <v>1989.1602090000001</v>
      </c>
      <c r="F70" s="203">
        <f>IF(OR(F18="NA",Table2!F20="NA"),"NA",-SUM(F18)+SUM(Table2!F20))</f>
        <v>5.0819999999999997E-2</v>
      </c>
      <c r="G70" s="203">
        <f>IF(OR(G18="NA",Table2!G20="NA"),"NA",-SUM(G18)+SUM(Table2!G20))</f>
        <v>0</v>
      </c>
      <c r="H70" s="203">
        <f>IF(OR(H18="NA",Table2!H20="NA"),"NA",-SUM(H18)+SUM(Table2!H20))</f>
        <v>1989.2110290000001</v>
      </c>
      <c r="I70" s="203">
        <f>IF(OR(I18="NA",Table2!I20="NA"),"NA",-SUM(I18)+SUM(Table2!I20))</f>
        <v>0</v>
      </c>
      <c r="J70" s="203">
        <f>IF(OR(J18="NA",Table2!J20="NA"),"NA",-SUM(J18)+SUM(Table2!J20))</f>
        <v>1.9693459999999998</v>
      </c>
      <c r="K70" s="203">
        <f>IF(OR(K18="NA",Table2!K20="NA"),"NA",-SUM(K18)+SUM(Table2!K20))</f>
        <v>862.06342500000005</v>
      </c>
      <c r="L70" s="203">
        <f>IF(OR(L18="NA",Table2!L20="NA"),"NA",-SUM(L18)+SUM(Table2!L20))</f>
        <v>0</v>
      </c>
      <c r="M70" s="203">
        <f>IF(OR(M18="NA",Table2!M20="NA"),"NA",-SUM(M18)+SUM(Table2!M20))</f>
        <v>2853.2438000000002</v>
      </c>
      <c r="N70" s="203">
        <f>IF(OR(N18="NA",Table2!N20="NA"),"NA",-SUM(N18)+SUM(Table2!N20))</f>
        <v>1989.2110290000001</v>
      </c>
      <c r="O70" s="202"/>
      <c r="P70" s="202"/>
      <c r="Q70" s="202"/>
    </row>
    <row r="71" spans="2:17" ht="10.9" customHeight="1" x14ac:dyDescent="0.2">
      <c r="B71" s="190"/>
      <c r="C71" s="714" t="s">
        <v>2827</v>
      </c>
      <c r="E71" s="203">
        <f>IF(OR(E19="NA",Table2!E24="NA"),"NA",-SUM(E19)+SUM(Table2!E24))</f>
        <v>74743.698170999996</v>
      </c>
      <c r="F71" s="203">
        <f>IF(OR(F19="NA",Table2!F24="NA"),"NA",-SUM(F19)+SUM(Table2!F24))</f>
        <v>14.12998</v>
      </c>
      <c r="G71" s="203">
        <f>IF(OR(G19="NA",Table2!G24="NA"),"NA",-SUM(G19)+SUM(Table2!G24))</f>
        <v>-2867.4240309999905</v>
      </c>
      <c r="H71" s="203">
        <f>IF(OR(H19="NA",Table2!H24="NA"),"NA",-SUM(H19)+SUM(Table2!H24))</f>
        <v>71890.404120000007</v>
      </c>
      <c r="I71" s="203">
        <f>IF(OR(I19="NA",Table2!I24="NA"),"NA",-SUM(I19)+SUM(Table2!I24))</f>
        <v>0</v>
      </c>
      <c r="J71" s="203">
        <f>IF(OR(J19="NA",Table2!J24="NA"),"NA",-SUM(J19)+SUM(Table2!J24))</f>
        <v>1366.4219169999999</v>
      </c>
      <c r="K71" s="203">
        <f>IF(OR(K19="NA",Table2!K24="NA"),"NA",-SUM(K19)+SUM(Table2!K24))</f>
        <v>2365.6331530000002</v>
      </c>
      <c r="L71" s="203">
        <f>IF(OR(L19="NA",Table2!L24="NA"),"NA",-SUM(L19)+SUM(Table2!L24))</f>
        <v>-57263.642900999999</v>
      </c>
      <c r="M71" s="203">
        <f>IF(OR(M19="NA",Table2!M24="NA"),"NA",-SUM(M19)+SUM(Table2!M24))</f>
        <v>18358.816289000002</v>
      </c>
      <c r="N71" s="203">
        <f>IF(OR(N19="NA",Table2!N24="NA"),"NA",-SUM(N19)+SUM(Table2!N24))</f>
        <v>71890.404119999992</v>
      </c>
      <c r="O71" s="202"/>
      <c r="P71" s="202"/>
      <c r="Q71" s="202"/>
    </row>
    <row r="72" spans="2:17" ht="10.9" customHeight="1" x14ac:dyDescent="0.2">
      <c r="B72" s="190"/>
      <c r="C72" s="714" t="s">
        <v>2828</v>
      </c>
      <c r="E72" s="203">
        <f>IF(OR(E20="NA",Table2!E34="NA"),"NA",-SUM(E20)+SUM(Table2!E34))</f>
        <v>21393.540126</v>
      </c>
      <c r="F72" s="203">
        <f>IF(OR(F20="NA",Table2!F34="NA"),"NA",-SUM(F20)+SUM(Table2!F34))</f>
        <v>15.595727999999999</v>
      </c>
      <c r="G72" s="203">
        <f>IF(OR(G20="NA",Table2!G34="NA"),"NA",-SUM(G20)+SUM(Table2!G34))</f>
        <v>0</v>
      </c>
      <c r="H72" s="203">
        <f>IF(OR(H20="NA",Table2!H34="NA"),"NA",-SUM(H20)+SUM(Table2!H34))</f>
        <v>21409.135854</v>
      </c>
      <c r="I72" s="203">
        <f>IF(OR(I20="NA",Table2!I34="NA"),"NA",-SUM(I20)+SUM(Table2!I34))</f>
        <v>2.1115900000000001</v>
      </c>
      <c r="J72" s="203">
        <f>IF(OR(J20="NA",Table2!J34="NA"),"NA",-SUM(J20)+SUM(Table2!J34))</f>
        <v>1380.5474489999999</v>
      </c>
      <c r="K72" s="203">
        <f>IF(OR(K20="NA",Table2!K34="NA"),"NA",-SUM(K20)+SUM(Table2!K34))</f>
        <v>1580.0952130000001</v>
      </c>
      <c r="L72" s="203">
        <f>IF(OR(L20="NA",Table2!L34="NA"),"NA",-SUM(L20)+SUM(Table2!L34))</f>
        <v>0</v>
      </c>
      <c r="M72" s="203">
        <f>IF(OR(M20="NA",Table2!M34="NA"),"NA",-SUM(M20)+SUM(Table2!M34))</f>
        <v>24371.890105999999</v>
      </c>
      <c r="N72" s="203">
        <f>IF(OR(N20="NA",Table2!N34="NA"),"NA",-SUM(N20)+SUM(Table2!N34))</f>
        <v>21411.247444000001</v>
      </c>
      <c r="O72" s="202"/>
      <c r="P72" s="202"/>
      <c r="Q72" s="202"/>
    </row>
    <row r="73" spans="2:17" ht="10.9" customHeight="1" x14ac:dyDescent="0.2">
      <c r="B73" s="190"/>
      <c r="C73" s="714" t="s">
        <v>2829</v>
      </c>
      <c r="E73" s="203">
        <f>IF(OR(E21="NA",Table2!E38="NA"),"NA",-SUM(E21)+SUM(Table2!E38))</f>
        <v>29717.819748000002</v>
      </c>
      <c r="F73" s="203">
        <f>IF(OR(F21="NA",Table2!F38="NA"),"NA",-SUM(F21)+SUM(Table2!F38))</f>
        <v>444.38988799999998</v>
      </c>
      <c r="G73" s="203">
        <f>IF(OR(G21="NA",Table2!G38="NA"),"NA",-SUM(G21)+SUM(Table2!G38))</f>
        <v>-48.464147999999113</v>
      </c>
      <c r="H73" s="203">
        <f>IF(OR(H21="NA",Table2!H38="NA"),"NA",-SUM(H21)+SUM(Table2!H38))</f>
        <v>30113.745488</v>
      </c>
      <c r="I73" s="203">
        <f>IF(OR(I21="NA",Table2!I38="NA"),"NA",-SUM(I21)+SUM(Table2!I38))</f>
        <v>1459.016157</v>
      </c>
      <c r="J73" s="203">
        <f>IF(OR(J21="NA",Table2!J38="NA"),"NA",-SUM(J21)+SUM(Table2!J38))</f>
        <v>6472.9777299999996</v>
      </c>
      <c r="K73" s="203">
        <f>IF(OR(K21="NA",Table2!K38="NA"),"NA",-SUM(K21)+SUM(Table2!K38))</f>
        <v>26288.792974</v>
      </c>
      <c r="L73" s="203">
        <f>IF(OR(L21="NA",Table2!L38="NA"),"NA",-SUM(L21)+SUM(Table2!L38))</f>
        <v>-1030.9301149999992</v>
      </c>
      <c r="M73" s="203">
        <f>IF(OR(M21="NA",Table2!M38="NA"),"NA",-SUM(M21)+SUM(Table2!M38))</f>
        <v>63303.602233999991</v>
      </c>
      <c r="N73" s="203">
        <f>IF(OR(N21="NA",Table2!N38="NA"),"NA",-SUM(N21)+SUM(Table2!N38))</f>
        <v>31572.761644999999</v>
      </c>
      <c r="O73" s="202"/>
      <c r="P73" s="202"/>
      <c r="Q73" s="202"/>
    </row>
    <row r="74" spans="2:17" ht="10.9" customHeight="1" x14ac:dyDescent="0.2">
      <c r="B74" s="190"/>
      <c r="C74" s="714" t="s">
        <v>2830</v>
      </c>
      <c r="E74" s="203">
        <f>IF(OR(E24="NA",Table3!E9="NA"),"NA",-SUM(E24)+SUM(Table3!E9))</f>
        <v>9368.8477039999998</v>
      </c>
      <c r="F74" s="203">
        <f>IF(OR(F24="NA",Table3!F9="NA"),"NA",-SUM(F24)+SUM(Table3!F9))</f>
        <v>-130.14933100000002</v>
      </c>
      <c r="G74" s="203">
        <f>IF(OR(G24="NA",Table3!G9="NA"),"NA",-SUM(G24)+SUM(Table3!G9))</f>
        <v>0</v>
      </c>
      <c r="H74" s="203">
        <f>IF(OR(H24="NA",Table3!H9="NA"),"NA",-SUM(H24)+SUM(Table3!H9))</f>
        <v>9238.6983729999993</v>
      </c>
      <c r="I74" s="203">
        <f>IF(OR(I24="NA",Table3!I9="NA"),"NA",-SUM(I24)+SUM(Table3!I9))</f>
        <v>529.74416599999995</v>
      </c>
      <c r="J74" s="203">
        <f>IF(OR(J24="NA",Table3!J9="NA"),"NA",-SUM(J24)+SUM(Table3!J9))</f>
        <v>2185.7212089999998</v>
      </c>
      <c r="K74" s="203">
        <f>IF(OR(K24="NA",Table3!K9="NA"),"NA",-SUM(K24)+SUM(Table3!K9))</f>
        <v>7747.2745940000004</v>
      </c>
      <c r="L74" s="203">
        <f>IF(OR(L24="NA",Table3!L9="NA"),"NA",-SUM(L24)+SUM(Table3!L9))</f>
        <v>0</v>
      </c>
      <c r="M74" s="203">
        <f>IF(OR(M24="NA",Table3!M9="NA"),"NA",-SUM(M24)+SUM(Table3!M9))</f>
        <v>19701.438341999998</v>
      </c>
      <c r="N74" s="203">
        <f>IF(OR(N24="NA",Table3!N9="NA"),"NA",-SUM(N24)+SUM(Table3!N9))</f>
        <v>9768.4425389999979</v>
      </c>
      <c r="O74" s="202"/>
      <c r="P74" s="202"/>
      <c r="Q74" s="202"/>
    </row>
    <row r="75" spans="2:17" ht="10.9" customHeight="1" x14ac:dyDescent="0.2">
      <c r="B75" s="190"/>
      <c r="C75" s="714" t="s">
        <v>2831</v>
      </c>
      <c r="E75" s="203">
        <f>IF(OR(E25="NA",Table3!E10="NA"),"NA",-SUM(E25)+SUM(Table3!E10))</f>
        <v>10066.330609999999</v>
      </c>
      <c r="F75" s="203">
        <f>IF(OR(F25="NA",Table3!F10="NA"),"NA",-SUM(F25)+SUM(Table3!F10))</f>
        <v>48.877752000000001</v>
      </c>
      <c r="G75" s="203">
        <f>IF(OR(G25="NA",Table3!G10="NA"),"NA",-SUM(G25)+SUM(Table3!G10))</f>
        <v>0</v>
      </c>
      <c r="H75" s="203">
        <f>IF(OR(H25="NA",Table3!H10="NA"),"NA",-SUM(H25)+SUM(Table3!H10))</f>
        <v>10115.208361999999</v>
      </c>
      <c r="I75" s="203">
        <f>IF(OR(I25="NA",Table3!I10="NA"),"NA",-SUM(I25)+SUM(Table3!I10))</f>
        <v>538.99138199999993</v>
      </c>
      <c r="J75" s="203">
        <f>IF(OR(J25="NA",Table3!J10="NA"),"NA",-SUM(J25)+SUM(Table3!J10))</f>
        <v>2851.3488179999999</v>
      </c>
      <c r="K75" s="203">
        <f>IF(OR(K25="NA",Table3!K10="NA"),"NA",-SUM(K25)+SUM(Table3!K10))</f>
        <v>7463.6762950000002</v>
      </c>
      <c r="L75" s="203">
        <f>IF(OR(L25="NA",Table3!L10="NA"),"NA",-SUM(L25)+SUM(Table3!L10))</f>
        <v>0</v>
      </c>
      <c r="M75" s="203">
        <f>IF(OR(M25="NA",Table3!M10="NA"),"NA",-SUM(M25)+SUM(Table3!M10))</f>
        <v>20969.224856999997</v>
      </c>
      <c r="N75" s="203">
        <f>IF(OR(N25="NA",Table3!N10="NA"),"NA",-SUM(N25)+SUM(Table3!N10))</f>
        <v>10654.199743999998</v>
      </c>
      <c r="O75" s="202"/>
      <c r="P75" s="202"/>
      <c r="Q75" s="202"/>
    </row>
    <row r="76" spans="2:17" ht="10.9" customHeight="1" x14ac:dyDescent="0.2">
      <c r="B76" s="190"/>
      <c r="C76" s="714" t="s">
        <v>2832</v>
      </c>
      <c r="E76" s="203">
        <f>IF(OR(E26="NA",Table3!E15="NA"),"NA",-SUM(E26)+SUM(Table3!E15))</f>
        <v>17.39</v>
      </c>
      <c r="F76" s="203">
        <f>IF(OR(F26="NA",Table3!F15="NA"),"NA",-SUM(F26)+SUM(Table3!F15))</f>
        <v>117.149</v>
      </c>
      <c r="G76" s="203">
        <f>IF(OR(G26="NA",Table3!G15="NA"),"NA",-SUM(G26)+SUM(Table3!G15))</f>
        <v>0</v>
      </c>
      <c r="H76" s="203">
        <f>IF(OR(H26="NA",Table3!H15="NA"),"NA",-SUM(H26)+SUM(Table3!H15))</f>
        <v>134.53899999999999</v>
      </c>
      <c r="I76" s="203">
        <f>IF(OR(I26="NA",Table3!I15="NA"),"NA",-SUM(I26)+SUM(Table3!I15))</f>
        <v>0.25</v>
      </c>
      <c r="J76" s="203">
        <f>IF(OR(J26="NA",Table3!J15="NA"),"NA",-SUM(J26)+SUM(Table3!J15))</f>
        <v>-63.762999999999998</v>
      </c>
      <c r="K76" s="203">
        <f>IF(OR(K26="NA",Table3!K15="NA"),"NA",-SUM(K26)+SUM(Table3!K15))</f>
        <v>36.939</v>
      </c>
      <c r="L76" s="203">
        <f>IF(OR(L26="NA",Table3!L15="NA"),"NA",-SUM(L26)+SUM(Table3!L15))</f>
        <v>0</v>
      </c>
      <c r="M76" s="203">
        <f>IF(OR(M26="NA",Table3!M15="NA"),"NA",-SUM(M26)+SUM(Table3!M15))</f>
        <v>107.96499999999997</v>
      </c>
      <c r="N76" s="203">
        <f>IF(OR(N26="NA",Table3!N15="NA"),"NA",-SUM(N26)+SUM(Table3!N15))</f>
        <v>134.78899999999999</v>
      </c>
      <c r="O76" s="202"/>
      <c r="P76" s="202"/>
      <c r="Q76" s="202"/>
    </row>
    <row r="77" spans="2:17" ht="10.9" customHeight="1" x14ac:dyDescent="0.2">
      <c r="B77" s="190"/>
      <c r="C77" s="714" t="s">
        <v>2833</v>
      </c>
      <c r="E77" s="203">
        <f>IF(OR(E27="NA",Table3!E16="NA"),"NA",-SUM(E27)+SUM(Table3!E16))</f>
        <v>3.6931630000000268</v>
      </c>
      <c r="F77" s="203">
        <f>IF(OR(F27="NA",Table3!F16="NA"),"NA",-SUM(F27)+SUM(Table3!F16))</f>
        <v>91.201966999999996</v>
      </c>
      <c r="G77" s="203">
        <f>IF(OR(G27="NA",Table3!G16="NA"),"NA",-SUM(G27)+SUM(Table3!G16))</f>
        <v>0</v>
      </c>
      <c r="H77" s="203">
        <f>IF(OR(H27="NA",Table3!H16="NA"),"NA",-SUM(H27)+SUM(Table3!H16))</f>
        <v>94.895130000000023</v>
      </c>
      <c r="I77" s="203">
        <f>IF(OR(I27="NA",Table3!I16="NA"),"NA",-SUM(I27)+SUM(Table3!I16))</f>
        <v>0</v>
      </c>
      <c r="J77" s="203">
        <f>IF(OR(J27="NA",Table3!J16="NA"),"NA",-SUM(J27)+SUM(Table3!J16))</f>
        <v>132.61603600000001</v>
      </c>
      <c r="K77" s="203">
        <f>IF(OR(K27="NA",Table3!K16="NA"),"NA",-SUM(K27)+SUM(Table3!K16))</f>
        <v>168.99916999999999</v>
      </c>
      <c r="L77" s="203">
        <f>IF(OR(L27="NA",Table3!L16="NA"),"NA",-SUM(L27)+SUM(Table3!L16))</f>
        <v>0</v>
      </c>
      <c r="M77" s="203">
        <f>IF(OR(M27="NA",Table3!M16="NA"),"NA",-SUM(M27)+SUM(Table3!M16))</f>
        <v>396.51033600000005</v>
      </c>
      <c r="N77" s="203">
        <f>IF(OR(N27="NA",Table3!N16="NA"),"NA",-SUM(N27)+SUM(Table3!N16))</f>
        <v>94.895130000000023</v>
      </c>
      <c r="O77" s="202"/>
      <c r="P77" s="202"/>
      <c r="Q77" s="202"/>
    </row>
    <row r="78" spans="2:17" ht="10.9" customHeight="1" x14ac:dyDescent="0.2">
      <c r="B78" s="190"/>
      <c r="C78" s="714" t="s">
        <v>2834</v>
      </c>
      <c r="E78" s="203">
        <f>IF(OR(E28="NA",Table3!E17="NA"),"NA",-SUM(E28)+SUM(Table3!E17))</f>
        <v>-718.5660690000002</v>
      </c>
      <c r="F78" s="203">
        <f>IF(OR(F28="NA",Table3!F17="NA"),"NA",-SUM(F28)+SUM(Table3!F17))</f>
        <v>-387.37805000000003</v>
      </c>
      <c r="G78" s="203">
        <f>IF(OR(G28="NA",Table3!G17="NA"),"NA",-SUM(G28)+SUM(Table3!G17))</f>
        <v>0</v>
      </c>
      <c r="H78" s="203">
        <f>IF(OR(H28="NA",Table3!H17="NA"),"NA",-SUM(H28)+SUM(Table3!H17))</f>
        <v>-1105.9441190000002</v>
      </c>
      <c r="I78" s="203">
        <f>IF(OR(I28="NA",Table3!I17="NA"),"NA",-SUM(I28)+SUM(Table3!I17))</f>
        <v>-9.4972159999999999</v>
      </c>
      <c r="J78" s="203">
        <f>IF(OR(J28="NA",Table3!J17="NA"),"NA",-SUM(J28)+SUM(Table3!J17))</f>
        <v>-734.48064499999998</v>
      </c>
      <c r="K78" s="203">
        <f>IF(OR(K28="NA",Table3!K17="NA"),"NA",-SUM(K28)+SUM(Table3!K17))</f>
        <v>77.660128999999998</v>
      </c>
      <c r="L78" s="203">
        <f>IF(OR(L28="NA",Table3!L17="NA"),"NA",-SUM(L28)+SUM(Table3!L17))</f>
        <v>0</v>
      </c>
      <c r="M78" s="203">
        <f>IF(OR(M28="NA",Table3!M17="NA"),"NA",-SUM(M28)+SUM(Table3!M17))</f>
        <v>-1772.2618510000004</v>
      </c>
      <c r="N78" s="203">
        <f>IF(OR(N28="NA",Table3!N17="NA"),"NA",-SUM(N28)+SUM(Table3!N17))</f>
        <v>-1115.4413350000002</v>
      </c>
      <c r="O78" s="202"/>
      <c r="P78" s="202"/>
      <c r="Q78" s="202"/>
    </row>
    <row r="79" spans="2:17" ht="10.9" customHeight="1" x14ac:dyDescent="0.2">
      <c r="B79" s="209"/>
      <c r="C79" s="715" t="s">
        <v>2835</v>
      </c>
      <c r="E79" s="203">
        <f>IF(OR(E30="NA",Table3!E95="NA",E40="NA"),"NA",-SUM(E30)+SUM(Table3!E95)-SUM(E40))</f>
        <v>-33142.145543926003</v>
      </c>
      <c r="F79" s="203">
        <f>IF(OR(F30="NA",Table3!F95="NA",F40="NA"),"NA",-SUM(F30)+SUM(Table3!F95)-SUM(F40))</f>
        <v>-49.14084900000006</v>
      </c>
      <c r="G79" s="203">
        <f>IF(OR(G30="NA",Table3!G95="NA",G40="NA"),"NA",-SUM(G30)+SUM(Table3!G95)-SUM(G40))</f>
        <v>-1697.5920000000001</v>
      </c>
      <c r="H79" s="203">
        <f>IF(OR(H30="NA",Table3!H95="NA",H40="NA"),"NA",-SUM(H30)+SUM(Table3!H95)-SUM(H40))</f>
        <v>-34888.87839292601</v>
      </c>
      <c r="I79" s="203">
        <f>IF(OR(I30="NA",Table3!I95="NA",I40="NA"),"NA",-SUM(I30)+SUM(Table3!I95)-SUM(I40))</f>
        <v>-1023.0225109999999</v>
      </c>
      <c r="J79" s="203">
        <f>IF(OR(J30="NA",Table3!J95="NA",J40="NA"),"NA",-SUM(J30)+SUM(Table3!J95)-SUM(J40))</f>
        <v>-1017.5858508280003</v>
      </c>
      <c r="K79" s="203">
        <f>IF(OR(K30="NA",Table3!K95="NA",K40="NA"),"NA",-SUM(K30)+SUM(Table3!K95)-SUM(K40))</f>
        <v>8983.5600240200001</v>
      </c>
      <c r="L79" s="203">
        <f>IF(OR(L30="NA",Table3!L95="NA",L40="NA"),"NA",-SUM(L30)+SUM(Table3!L95)-SUM(L40))</f>
        <v>-844.96100000000001</v>
      </c>
      <c r="M79" s="203">
        <f>IF(OR(M30="NA",Table3!M95="NA",M40="NA"),"NA",-SUM(M30)+SUM(Table3!M95)-SUM(M40))</f>
        <v>-28790.887730733994</v>
      </c>
      <c r="N79" s="203">
        <f>IF(OR(N30="NA",Table3!N95="NA",N40="NA"),"NA",-SUM(N30)+SUM(Table3!N95)-SUM(N40))</f>
        <v>-35911.900903925991</v>
      </c>
      <c r="O79" s="202"/>
      <c r="P79" s="202"/>
      <c r="Q79" s="202"/>
    </row>
    <row r="80" spans="2:17" ht="10.9" customHeight="1" x14ac:dyDescent="0.2">
      <c r="B80" s="210"/>
      <c r="C80" s="715" t="s">
        <v>2836</v>
      </c>
      <c r="E80" s="203">
        <f>IF(OR(E32="NA",Table3!E22="NA",E39="NA"),"NA",-SUM(E32)+SUM(Table3!E22)-SUM(E39))</f>
        <v>40146.564456074004</v>
      </c>
      <c r="F80" s="203">
        <f>IF(OR(F32="NA",Table3!F22="NA",F39="NA"),"NA",-SUM(F32)+SUM(Table3!F22)-SUM(F39))</f>
        <v>290.27115099999992</v>
      </c>
      <c r="G80" s="203">
        <f>IF(OR(G32="NA",Table3!G22="NA",G39="NA"),"NA",-SUM(G32)+SUM(Table3!G22)-SUM(G39))</f>
        <v>-1913.3820000000001</v>
      </c>
      <c r="H80" s="203">
        <f>IF(OR(H32="NA",Table3!H22="NA",H39="NA"),"NA",-SUM(H32)+SUM(Table3!H22)-SUM(H39))</f>
        <v>38523.453607074</v>
      </c>
      <c r="I80" s="203">
        <f>IF(OR(I32="NA",Table3!I22="NA",I39="NA"),"NA",-SUM(I32)+SUM(Table3!I22)-SUM(I39))</f>
        <v>158.349377</v>
      </c>
      <c r="J80" s="203">
        <f>IF(OR(J32="NA",Table3!J22="NA",J39="NA"),"NA",-SUM(J32)+SUM(Table3!J22)-SUM(J39))</f>
        <v>3765.364959172</v>
      </c>
      <c r="K80" s="203">
        <f>IF(OR(K32="NA",Table3!K22="NA",K39="NA"),"NA",-SUM(K32)+SUM(Table3!K22)-SUM(K39))</f>
        <v>10251.060048019999</v>
      </c>
      <c r="L80" s="203">
        <f>IF(OR(L32="NA",Table3!L22="NA",L39="NA"),"NA",-SUM(L32)+SUM(Table3!L22)-SUM(L39))</f>
        <v>-844.96100000000001</v>
      </c>
      <c r="M80" s="203">
        <f>IF(OR(M32="NA",Table3!M22="NA",M39="NA"),"NA",-SUM(M32)+SUM(Table3!M22)-SUM(M39))</f>
        <v>51853.266991265999</v>
      </c>
      <c r="N80" s="203">
        <f>IF(OR(N32="NA",Table3!N22="NA",N39="NA"),"NA",-SUM(N32)+SUM(Table3!N22)-SUM(N39))</f>
        <v>38681.802984073998</v>
      </c>
      <c r="O80" s="202"/>
      <c r="P80" s="202"/>
      <c r="Q80" s="202"/>
    </row>
    <row r="81" spans="2:17" ht="10.9" customHeight="1" x14ac:dyDescent="0.2">
      <c r="B81" s="210"/>
      <c r="C81" s="715" t="s">
        <v>1449</v>
      </c>
      <c r="E81" s="203">
        <f>IF(OR(E39="NA",Table3!E24="NA"),"NA",-SUM(E39)+SUM(Table3!E24))</f>
        <v>9266.1172290000013</v>
      </c>
      <c r="F81" s="203">
        <f>IF(OR(F39="NA",Table3!F24="NA"),"NA",-SUM(F39)+SUM(Table3!F24))</f>
        <v>-78.120576</v>
      </c>
      <c r="G81" s="203">
        <f>IF(OR(G39="NA",Table3!G24="NA"),"NA",-SUM(G39)+SUM(Table3!G24))</f>
        <v>-135.16399999999999</v>
      </c>
      <c r="H81" s="203">
        <f>IF(OR(H39="NA",Table3!H24="NA"),"NA",-SUM(H39)+SUM(Table3!H24))</f>
        <v>9052.8326529999995</v>
      </c>
      <c r="I81" s="203">
        <f>IF(OR(I39="NA",Table3!I24="NA"),"NA",-SUM(I39)+SUM(Table3!I24))</f>
        <v>135.164095</v>
      </c>
      <c r="J81" s="203">
        <f>IF(OR(J39="NA",Table3!J24="NA"),"NA",-SUM(J39)+SUM(Table3!J24))</f>
        <v>84.366426000000004</v>
      </c>
      <c r="K81" s="203">
        <f>IF(OR(K39="NA",Table3!K24="NA"),"NA",-SUM(K39)+SUM(Table3!K24))</f>
        <v>2250.4630350000002</v>
      </c>
      <c r="L81" s="203">
        <f>IF(OR(L39="NA",Table3!L24="NA"),"NA",-SUM(L39)+SUM(Table3!L24))</f>
        <v>0</v>
      </c>
      <c r="M81" s="203">
        <f>IF(OR(M39="NA",Table3!M24="NA"),"NA",-SUM(M39)+SUM(Table3!M24))</f>
        <v>11522.826209000001</v>
      </c>
      <c r="N81" s="203">
        <f>IF(OR(N39="NA",Table3!N24="NA"),"NA",-SUM(N39)+SUM(Table3!N24))</f>
        <v>9187.9967479999996</v>
      </c>
      <c r="O81" s="202"/>
      <c r="P81" s="202"/>
      <c r="Q81" s="202"/>
    </row>
    <row r="82" spans="2:17" ht="10.9" customHeight="1" x14ac:dyDescent="0.2">
      <c r="B82" s="210"/>
      <c r="C82" s="715" t="s">
        <v>1450</v>
      </c>
      <c r="E82" s="203">
        <f>IF(OR(E39="NA",Table3!E33="NA",E42="NA"),"NA",-SUM(E39)+SUM(Table3!E33)+SUM(Table3!E42))</f>
        <v>9266.1172290000013</v>
      </c>
      <c r="F82" s="203">
        <f>IF(OR(F39="NA",Table3!F33="NA",F42="NA"),"NA",-SUM(F39)+SUM(Table3!F33)+SUM(Table3!F42))</f>
        <v>-78.120576</v>
      </c>
      <c r="G82" s="203">
        <f>IF(OR(G39="NA",Table3!G33="NA",G42="NA"),"NA",-SUM(G39)+SUM(Table3!G33)+SUM(Table3!G42))</f>
        <v>-135.16399999999999</v>
      </c>
      <c r="H82" s="203">
        <f>IF(OR(H39="NA",Table3!H33="NA",H42="NA"),"NA",-SUM(H39)+SUM(Table3!H33)+SUM(Table3!H42))</f>
        <v>9052.8326529999995</v>
      </c>
      <c r="I82" s="203">
        <f>IF(OR(I39="NA",Table3!I33="NA",I42="NA"),"NA",-SUM(I39)+SUM(Table3!I33)+SUM(Table3!I42))</f>
        <v>135.164095</v>
      </c>
      <c r="J82" s="203">
        <f>IF(OR(J39="NA",Table3!J33="NA",J42="NA"),"NA",-SUM(J39)+SUM(Table3!J33)+SUM(Table3!J42))</f>
        <v>84.366426000000004</v>
      </c>
      <c r="K82" s="203">
        <f>IF(OR(K39="NA",Table3!K33="NA",K42="NA"),"NA",-SUM(K39)+SUM(Table3!K33)+SUM(Table3!K42))</f>
        <v>2250.4630350000002</v>
      </c>
      <c r="L82" s="203">
        <f>IF(OR(L39="NA",Table3!L33="NA",L42="NA"),"NA",-SUM(L39)+SUM(Table3!L33)+SUM(Table3!L42))</f>
        <v>0</v>
      </c>
      <c r="M82" s="203">
        <f>IF(OR(M39="NA",Table3!M33="NA",M42="NA"),"NA",-SUM(M39)+SUM(Table3!M33)+SUM(Table3!M42))</f>
        <v>11522.826209000001</v>
      </c>
      <c r="N82" s="203">
        <f>IF(OR(N39="NA",Table3!N33="NA",N42="NA"),"NA",-SUM(N39)+SUM(Table3!N33)+SUM(Table3!N42))</f>
        <v>9187.9967479999996</v>
      </c>
      <c r="O82" s="202"/>
      <c r="P82" s="202"/>
      <c r="Q82" s="202"/>
    </row>
    <row r="83" spans="2:17" ht="10.9" customHeight="1" x14ac:dyDescent="0.2">
      <c r="B83" s="210"/>
      <c r="C83" s="715" t="s">
        <v>2837</v>
      </c>
      <c r="E83" s="203">
        <f>IF(OR(E35="NA",Table3!E49="NA"),"NA",-SUM(E35)+SUM(Table3!E49))</f>
        <v>73288.710000000006</v>
      </c>
      <c r="F83" s="203">
        <f>IF(OR(F35="NA",Table3!F49="NA"),"NA",-SUM(F35)+SUM(Table3!F49))</f>
        <v>339.41199999999998</v>
      </c>
      <c r="G83" s="203">
        <f>IF(OR(G35="NA",Table3!G49="NA"),"NA",-SUM(G35)+SUM(Table3!G49))</f>
        <v>-215.79</v>
      </c>
      <c r="H83" s="203">
        <f>IF(OR(H35="NA",Table3!H49="NA"),"NA",-SUM(H35)+SUM(Table3!H49))</f>
        <v>73412.332000000009</v>
      </c>
      <c r="I83" s="203">
        <f>IF(OR(I35="NA",Table3!I49="NA"),"NA",-SUM(I35)+SUM(Table3!I49))</f>
        <v>1181.3718879999999</v>
      </c>
      <c r="J83" s="203">
        <f>IF(OR(J35="NA",Table3!J49="NA"),"NA",-SUM(J35)+SUM(Table3!J49))</f>
        <v>4782.9508100000003</v>
      </c>
      <c r="K83" s="203">
        <f>IF(OR(K35="NA",Table3!K49="NA"),"NA",-SUM(K35)+SUM(Table3!K49))</f>
        <v>1267.5000239999999</v>
      </c>
      <c r="L83" s="203">
        <f>IF(OR(L35="NA",Table3!L49="NA"),"NA",-SUM(L35)+SUM(Table3!L49))</f>
        <v>0</v>
      </c>
      <c r="M83" s="203">
        <f>IF(OR(M35="NA",Table3!M49="NA"),"NA",-SUM(M35)+SUM(Table3!M49))</f>
        <v>80644.154721999992</v>
      </c>
      <c r="N83" s="203">
        <f>IF(OR(N35="NA",Table3!N49="NA"),"NA",-SUM(N35)+SUM(Table3!N49))</f>
        <v>74593.703887999989</v>
      </c>
      <c r="O83" s="202"/>
      <c r="P83" s="202"/>
      <c r="Q83" s="202"/>
    </row>
    <row r="84" spans="2:17" ht="10.9" customHeight="1" x14ac:dyDescent="0.2">
      <c r="B84" s="210"/>
      <c r="C84" s="715" t="s">
        <v>2838</v>
      </c>
      <c r="E84" s="203">
        <f>IF(OR(E36="NA",Table3!E63="NA"),"NA",-SUM(E36)+SUM(Table3!E63))</f>
        <v>69100.629000000001</v>
      </c>
      <c r="F84" s="203">
        <f>IF(OR(F36="NA",Table3!F63="NA"),"NA",-SUM(F36)+SUM(Table3!F63))</f>
        <v>339.38799999999998</v>
      </c>
      <c r="G84" s="203">
        <f>IF(OR(G36="NA",Table3!G63="NA"),"NA",-SUM(G36)+SUM(Table3!G63))</f>
        <v>-215.79</v>
      </c>
      <c r="H84" s="203">
        <f>IF(OR(H36="NA",Table3!H63="NA"),"NA",-SUM(H36)+SUM(Table3!H63))</f>
        <v>69224.226999999999</v>
      </c>
      <c r="I84" s="203">
        <f>IF(OR(I36="NA",Table3!I63="NA"),"NA",-SUM(I36)+SUM(Table3!I63))</f>
        <v>1181.0898029999998</v>
      </c>
      <c r="J84" s="203">
        <f>IF(OR(J36="NA",Table3!J63="NA"),"NA",-SUM(J36)+SUM(Table3!J63))</f>
        <v>4783.2236810000004</v>
      </c>
      <c r="K84" s="203">
        <f>IF(OR(K36="NA",Table3!K63="NA"),"NA",-SUM(K36)+SUM(Table3!K63))</f>
        <v>1527.5019280000001</v>
      </c>
      <c r="L84" s="203">
        <f>IF(OR(L36="NA",Table3!L63="NA"),"NA",-SUM(L36)+SUM(Table3!L63))</f>
        <v>0</v>
      </c>
      <c r="M84" s="203">
        <f>IF(OR(M36="NA",Table3!M63="NA"),"NA",-SUM(M36)+SUM(Table3!M63))</f>
        <v>76716.042411999995</v>
      </c>
      <c r="N84" s="203">
        <f>IF(OR(N36="NA",Table3!N63="NA"),"NA",-SUM(N36)+SUM(Table3!N63))</f>
        <v>70405.316802999994</v>
      </c>
      <c r="O84" s="202"/>
      <c r="P84" s="202"/>
      <c r="Q84" s="202"/>
    </row>
    <row r="85" spans="2:17" ht="10.9" customHeight="1" x14ac:dyDescent="0.2">
      <c r="B85" s="210"/>
      <c r="C85" s="715" t="s">
        <v>2839</v>
      </c>
      <c r="E85" s="203">
        <f>IF(OR(E37="NA",Table3!E71="NA"),"NA",-SUM(E37)+SUM(Table3!E71))</f>
        <v>4188.0809999999992</v>
      </c>
      <c r="F85" s="203">
        <f>IF(OR(F37="NA",Table3!F71="NA"),"NA",-SUM(F37)+SUM(Table3!F71))</f>
        <v>2.4E-2</v>
      </c>
      <c r="G85" s="203">
        <f>IF(OR(G37="NA",Table3!G71="NA"),"NA",-SUM(G37)+SUM(Table3!G71))</f>
        <v>0</v>
      </c>
      <c r="H85" s="203">
        <f>IF(OR(H37="NA",Table3!H71="NA"),"NA",-SUM(H37)+SUM(Table3!H71))</f>
        <v>4188.1049999999996</v>
      </c>
      <c r="I85" s="203">
        <f>IF(OR(I37="NA",Table3!I71="NA"),"NA",-SUM(I37)+SUM(Table3!I71))</f>
        <v>0.28208499999999997</v>
      </c>
      <c r="J85" s="203">
        <f>IF(OR(J37="NA",Table3!J71="NA"),"NA",-SUM(J37)+SUM(Table3!J71))</f>
        <v>-0.27287099999999853</v>
      </c>
      <c r="K85" s="203">
        <f>IF(OR(K37="NA",Table3!K71="NA"),"NA",-SUM(K37)+SUM(Table3!K71))</f>
        <v>-260.00190399999997</v>
      </c>
      <c r="L85" s="203">
        <f>IF(OR(L37="NA",Table3!L71="NA"),"NA",-SUM(L37)+SUM(Table3!L71))</f>
        <v>0</v>
      </c>
      <c r="M85" s="203">
        <f>IF(OR(M37="NA",Table3!M71="NA"),"NA",-SUM(M37)+SUM(Table3!M71))</f>
        <v>3928.11231</v>
      </c>
      <c r="N85" s="203">
        <f>IF(OR(N37="NA",Table3!N71="NA"),"NA",-SUM(N37)+SUM(Table3!N71))</f>
        <v>4188.3870850000003</v>
      </c>
      <c r="O85" s="202"/>
      <c r="P85" s="202"/>
      <c r="Q85" s="202"/>
    </row>
    <row r="86" spans="2:17" ht="10.9" customHeight="1" x14ac:dyDescent="0.2">
      <c r="B86" s="211"/>
      <c r="C86" s="716" t="s">
        <v>1451</v>
      </c>
      <c r="D86" s="205"/>
      <c r="E86" s="206">
        <f t="shared" ref="E86:N86" si="18">IF(OR(E42="NA",E30="NA",E17="NA"),"NA",-SUM(E42)+SUM(E30)+SUM(E17))</f>
        <v>0</v>
      </c>
      <c r="F86" s="206">
        <f t="shared" si="18"/>
        <v>0</v>
      </c>
      <c r="G86" s="206">
        <f t="shared" si="18"/>
        <v>0</v>
      </c>
      <c r="H86" s="206">
        <f t="shared" si="18"/>
        <v>0</v>
      </c>
      <c r="I86" s="206">
        <f t="shared" si="18"/>
        <v>0</v>
      </c>
      <c r="J86" s="206">
        <f t="shared" si="18"/>
        <v>0</v>
      </c>
      <c r="K86" s="206">
        <f t="shared" si="18"/>
        <v>0</v>
      </c>
      <c r="L86" s="206">
        <f t="shared" si="18"/>
        <v>0</v>
      </c>
      <c r="M86" s="206">
        <f t="shared" si="18"/>
        <v>0</v>
      </c>
      <c r="N86" s="206">
        <f t="shared" si="18"/>
        <v>0</v>
      </c>
      <c r="O86" s="202"/>
      <c r="P86" s="202"/>
      <c r="Q86" s="202"/>
    </row>
    <row r="87" spans="2:17" s="103" customFormat="1" ht="10.9" customHeight="1" x14ac:dyDescent="0.15">
      <c r="B87" s="697" t="s">
        <v>2777</v>
      </c>
      <c r="C87" s="714"/>
      <c r="E87" s="212"/>
      <c r="F87" s="212"/>
      <c r="G87" s="212"/>
      <c r="H87" s="212"/>
      <c r="I87" s="212"/>
      <c r="J87" s="212"/>
      <c r="K87" s="212"/>
      <c r="L87" s="212"/>
      <c r="M87" s="212"/>
      <c r="N87" s="212"/>
      <c r="O87" s="191"/>
      <c r="P87" s="191"/>
      <c r="Q87" s="191"/>
    </row>
    <row r="88" spans="2:17" s="103" customFormat="1" ht="10.9" customHeight="1" x14ac:dyDescent="0.15">
      <c r="B88" s="697"/>
      <c r="C88" s="698" t="s">
        <v>2778</v>
      </c>
      <c r="E88" s="212"/>
      <c r="F88" s="212"/>
      <c r="G88" s="212"/>
      <c r="H88" s="212"/>
      <c r="I88" s="212"/>
      <c r="J88" s="212"/>
      <c r="K88" s="212"/>
      <c r="L88" s="212"/>
      <c r="M88" s="212"/>
      <c r="N88" s="212"/>
      <c r="O88" s="191"/>
      <c r="P88" s="191"/>
      <c r="Q88" s="191"/>
    </row>
    <row r="89" spans="2:17" s="103" customFormat="1" ht="10.9" customHeight="1" x14ac:dyDescent="0.15">
      <c r="B89" s="190"/>
      <c r="C89" s="214" t="s">
        <v>3489</v>
      </c>
      <c r="E89" s="215"/>
      <c r="F89" s="215"/>
      <c r="G89" s="203" t="str">
        <f>IF(OR(G22="NA"),"NA",IF(ROUND(SUM(G22),1)=0,"si","verificar!"))</f>
        <v>si</v>
      </c>
      <c r="H89" s="215"/>
      <c r="I89" s="215"/>
      <c r="J89" s="215"/>
      <c r="K89" s="215"/>
      <c r="L89" s="203" t="str">
        <f>IF(OR(L22="NA"),"NA",IF(ROUND(SUM(L22),1)=0,"si","verificar!"))</f>
        <v>si</v>
      </c>
      <c r="M89" s="215"/>
      <c r="N89" s="215"/>
      <c r="O89" s="191"/>
      <c r="P89" s="191"/>
      <c r="Q89" s="191"/>
    </row>
    <row r="90" spans="2:17" s="103" customFormat="1" ht="10.9" customHeight="1" x14ac:dyDescent="0.15">
      <c r="B90" s="190"/>
      <c r="C90" s="214" t="s">
        <v>3490</v>
      </c>
      <c r="E90" s="215"/>
      <c r="F90" s="215"/>
      <c r="G90" s="203" t="str">
        <f>IF(OR(G24="NA"),"NA",IF(ROUND(SUM(G24),1)=0,"si","verificar!"))</f>
        <v>si</v>
      </c>
      <c r="H90" s="215"/>
      <c r="I90" s="215"/>
      <c r="J90" s="215"/>
      <c r="K90" s="215"/>
      <c r="L90" s="203" t="str">
        <f>IF(OR(L24="NA"),"NA",IF(ROUND(SUM(L24),1)=0,"si","verificar!"))</f>
        <v>si</v>
      </c>
      <c r="M90" s="215"/>
      <c r="N90" s="215"/>
      <c r="O90" s="191"/>
      <c r="P90" s="191"/>
      <c r="Q90" s="191"/>
    </row>
    <row r="91" spans="2:17" s="103" customFormat="1" ht="10.9" customHeight="1" x14ac:dyDescent="0.15">
      <c r="B91" s="190"/>
      <c r="C91" s="214" t="s">
        <v>3491</v>
      </c>
      <c r="E91" s="215"/>
      <c r="F91" s="215"/>
      <c r="G91" s="203" t="str">
        <f>IF(OR(G30="NA"),"NA",IF(ROUND(SUM(G30),1)=0,"si","verificar!"))</f>
        <v>si</v>
      </c>
      <c r="H91" s="215"/>
      <c r="I91" s="215"/>
      <c r="J91" s="215"/>
      <c r="K91" s="215"/>
      <c r="L91" s="203" t="str">
        <f>IF(OR(L30="NA"),"NA",IF(ROUND(SUM(L30),1)=0,"si","verificar!"))</f>
        <v>si</v>
      </c>
      <c r="M91" s="215"/>
      <c r="N91" s="215"/>
      <c r="O91" s="191"/>
      <c r="P91" s="191"/>
      <c r="Q91" s="191"/>
    </row>
    <row r="92" spans="2:17" s="103" customFormat="1" ht="10.9" customHeight="1" x14ac:dyDescent="0.15">
      <c r="B92" s="190"/>
      <c r="C92" s="214" t="s">
        <v>3492</v>
      </c>
      <c r="E92" s="215"/>
      <c r="F92" s="215"/>
      <c r="G92" s="203" t="str">
        <f>IF(OR(G32="NA",G35="NA",G39="NA"),"NA",IF(ROUND(SUM(G32)-SUM(G35)+SUM(G39),1)=0,"si","verificar!"))</f>
        <v>si</v>
      </c>
      <c r="H92" s="215"/>
      <c r="I92" s="215"/>
      <c r="J92" s="215"/>
      <c r="K92" s="215"/>
      <c r="L92" s="203" t="str">
        <f>IF(OR(L32="NA",L35="NA",L39="NA"),"NA",IF(ROUND(SUM(L32)-SUM(L35)+SUM(L39),1)=0,"si","verificar!"))</f>
        <v>si</v>
      </c>
      <c r="M92" s="215"/>
      <c r="N92" s="215"/>
      <c r="O92" s="191"/>
      <c r="P92" s="191"/>
      <c r="Q92" s="191"/>
    </row>
    <row r="93" spans="2:17" s="103" customFormat="1" ht="10.9" customHeight="1" x14ac:dyDescent="0.15">
      <c r="B93" s="200"/>
      <c r="C93" s="698" t="s">
        <v>2840</v>
      </c>
      <c r="E93" s="212"/>
      <c r="F93" s="212"/>
      <c r="G93" s="216"/>
      <c r="H93" s="212"/>
      <c r="I93" s="212"/>
      <c r="J93" s="212"/>
      <c r="K93" s="212"/>
      <c r="L93" s="216"/>
      <c r="M93" s="212"/>
      <c r="N93" s="212"/>
      <c r="O93" s="191"/>
      <c r="P93" s="191"/>
      <c r="Q93" s="191"/>
    </row>
    <row r="94" spans="2:17" s="103" customFormat="1" ht="10.9" customHeight="1" x14ac:dyDescent="0.15">
      <c r="B94" s="190"/>
      <c r="C94" s="214" t="s">
        <v>3493</v>
      </c>
      <c r="E94" s="215"/>
      <c r="F94" s="215"/>
      <c r="G94" s="203" t="str">
        <f>IF(OR(G11="NA"),"NA",IF(ROUND(SUM(G11),1)=0,"si","verificar!"))</f>
        <v>si</v>
      </c>
      <c r="H94" s="215"/>
      <c r="I94" s="215"/>
      <c r="J94" s="215"/>
      <c r="K94" s="215"/>
      <c r="L94" s="203" t="str">
        <f>IF(OR(L11="NA"),"NA",IF(ROUND(SUM(L11),1)=0,"si","verificar!"))</f>
        <v>si</v>
      </c>
      <c r="M94" s="215"/>
      <c r="N94" s="215"/>
      <c r="O94" s="191"/>
      <c r="P94" s="191"/>
      <c r="Q94" s="191"/>
    </row>
    <row r="95" spans="2:17" s="103" customFormat="1" ht="10.9" customHeight="1" x14ac:dyDescent="0.15">
      <c r="B95" s="190"/>
      <c r="C95" s="214" t="s">
        <v>3494</v>
      </c>
      <c r="E95" s="215"/>
      <c r="F95" s="215"/>
      <c r="G95" s="203" t="str">
        <f>IF(OR(G15="NA"),"NA",IF(ROUND(SUM(G15),1)=0,"si","verificar!"))</f>
        <v>si</v>
      </c>
      <c r="H95" s="215"/>
      <c r="I95" s="215"/>
      <c r="J95" s="215"/>
      <c r="K95" s="215"/>
      <c r="L95" s="203" t="str">
        <f>IF(OR(L15="NA"),"NA",IF(ROUND(SUM(L15),1)=0,"si","verificar!"))</f>
        <v>si</v>
      </c>
      <c r="M95" s="215"/>
      <c r="N95" s="215"/>
      <c r="O95" s="191"/>
      <c r="P95" s="191"/>
      <c r="Q95" s="191"/>
    </row>
    <row r="96" spans="2:17" s="103" customFormat="1" ht="10.9" customHeight="1" x14ac:dyDescent="0.15">
      <c r="B96" s="190"/>
      <c r="C96" s="214" t="s">
        <v>3495</v>
      </c>
      <c r="E96" s="215"/>
      <c r="F96" s="215"/>
      <c r="G96" s="203" t="str">
        <f>IF(OR(G20="NA"),"NA",IF(ROUND(SUM(G20),1)=0,"si","verificar!"))</f>
        <v>si</v>
      </c>
      <c r="H96" s="215"/>
      <c r="I96" s="215"/>
      <c r="J96" s="215"/>
      <c r="K96" s="215"/>
      <c r="L96" s="203" t="str">
        <f>IF(OR(L20="NA"),"NA",IF(ROUND(SUM(L20),1)=0,"si","verificar!"))</f>
        <v>si</v>
      </c>
      <c r="M96" s="215"/>
      <c r="N96" s="215"/>
      <c r="O96" s="191"/>
      <c r="P96" s="191"/>
      <c r="Q96" s="191"/>
    </row>
    <row r="97" spans="2:17" s="103" customFormat="1" ht="10.9" customHeight="1" x14ac:dyDescent="0.15">
      <c r="B97" s="190"/>
      <c r="C97" s="214" t="s">
        <v>3496</v>
      </c>
      <c r="E97" s="215"/>
      <c r="F97" s="215"/>
      <c r="G97" s="203" t="str">
        <f>IF(OR(G34="NA"),"NA",IF(ROUND(SUM(G34),1)=0,"si","verificar!"))</f>
        <v>si</v>
      </c>
      <c r="H97" s="215"/>
      <c r="I97" s="215"/>
      <c r="J97" s="215"/>
      <c r="K97" s="215"/>
      <c r="L97" s="203" t="str">
        <f>IF(OR(L34="NA"),"NA",IF(ROUND(SUM(L34),1)=0,"si","verificar!"))</f>
        <v>si</v>
      </c>
      <c r="M97" s="215"/>
      <c r="N97" s="215"/>
      <c r="O97" s="191"/>
      <c r="P97" s="191"/>
      <c r="Q97" s="191"/>
    </row>
    <row r="98" spans="2:17" s="103" customFormat="1" ht="10.9" customHeight="1" x14ac:dyDescent="0.15">
      <c r="B98" s="190"/>
      <c r="C98" s="214" t="s">
        <v>3497</v>
      </c>
      <c r="E98" s="215"/>
      <c r="F98" s="215"/>
      <c r="G98" s="203" t="str">
        <f>IF(OR(G37="NA"),"NA",IF(ROUND(SUM(G37),1)=0,"si","verificar!"))</f>
        <v>si</v>
      </c>
      <c r="H98" s="215"/>
      <c r="I98" s="215"/>
      <c r="J98" s="215"/>
      <c r="K98" s="215"/>
      <c r="L98" s="203" t="str">
        <f>IF(OR(L37="NA"),"NA",IF(ROUND(SUM(L37),1)=0,"si","verificar!"))</f>
        <v>si</v>
      </c>
      <c r="M98" s="215"/>
      <c r="N98" s="215"/>
      <c r="O98" s="191"/>
      <c r="P98" s="191"/>
      <c r="Q98" s="191"/>
    </row>
    <row r="99" spans="2:17" ht="10.9" customHeight="1" x14ac:dyDescent="0.2">
      <c r="B99" s="217"/>
      <c r="C99" s="77"/>
      <c r="D99" s="218"/>
      <c r="E99" s="219"/>
      <c r="F99" s="219"/>
      <c r="G99" s="219"/>
      <c r="H99" s="219"/>
      <c r="I99" s="219"/>
      <c r="J99" s="219"/>
      <c r="K99" s="219"/>
      <c r="L99" s="219"/>
      <c r="M99" s="219"/>
      <c r="N99" s="219"/>
      <c r="O99" s="202"/>
      <c r="P99" s="202"/>
      <c r="Q99" s="202"/>
    </row>
    <row r="100" spans="2:17" ht="10.9" customHeight="1" x14ac:dyDescent="0.2">
      <c r="B100" s="190"/>
      <c r="C100" s="103"/>
      <c r="E100" s="220"/>
      <c r="F100" s="220"/>
      <c r="G100" s="220"/>
      <c r="H100" s="220"/>
      <c r="I100" s="220"/>
      <c r="J100" s="220"/>
      <c r="K100" s="220"/>
      <c r="L100" s="220"/>
      <c r="M100" s="220"/>
      <c r="N100" s="220"/>
    </row>
    <row r="101" spans="2:17" ht="10.9" customHeight="1" x14ac:dyDescent="0.2">
      <c r="B101" s="190"/>
      <c r="C101" s="103"/>
      <c r="E101" s="220"/>
      <c r="F101" s="220"/>
      <c r="G101" s="220"/>
      <c r="H101" s="220"/>
      <c r="I101" s="220"/>
      <c r="J101" s="220"/>
      <c r="K101" s="220"/>
      <c r="L101" s="220"/>
      <c r="M101" s="220"/>
      <c r="N101" s="220"/>
    </row>
    <row r="102" spans="2:17" ht="10.9" customHeight="1" x14ac:dyDescent="0.2">
      <c r="B102" s="190"/>
      <c r="C102" s="103"/>
      <c r="E102" s="220"/>
      <c r="F102" s="220"/>
      <c r="G102" s="220"/>
      <c r="H102" s="220"/>
      <c r="I102" s="220"/>
      <c r="J102" s="220"/>
      <c r="K102" s="220"/>
      <c r="L102" s="220"/>
      <c r="M102" s="220"/>
      <c r="N102" s="220"/>
    </row>
    <row r="103" spans="2:17" ht="10.9" customHeight="1" x14ac:dyDescent="0.2">
      <c r="B103" s="190"/>
      <c r="C103" s="103"/>
      <c r="E103" s="220"/>
      <c r="F103" s="220"/>
      <c r="G103" s="220"/>
      <c r="H103" s="220"/>
      <c r="I103" s="220"/>
      <c r="J103" s="220"/>
      <c r="K103" s="220"/>
      <c r="L103" s="220"/>
      <c r="M103" s="220"/>
      <c r="N103" s="220"/>
    </row>
    <row r="104" spans="2:17" ht="10.9" customHeight="1" x14ac:dyDescent="0.2">
      <c r="B104" s="190"/>
      <c r="C104" s="103"/>
      <c r="E104" s="220"/>
      <c r="F104" s="220"/>
      <c r="G104" s="220"/>
      <c r="H104" s="220"/>
      <c r="I104" s="220"/>
      <c r="J104" s="220"/>
      <c r="K104" s="220"/>
      <c r="L104" s="220"/>
      <c r="M104" s="220"/>
      <c r="N104" s="220"/>
    </row>
    <row r="105" spans="2:17" ht="10.9" customHeight="1" x14ac:dyDescent="0.2">
      <c r="B105" s="190"/>
      <c r="C105" s="103"/>
      <c r="E105" s="220"/>
      <c r="F105" s="220"/>
      <c r="G105" s="220"/>
      <c r="H105" s="220"/>
      <c r="I105" s="220"/>
      <c r="J105" s="220"/>
      <c r="K105" s="220"/>
      <c r="L105" s="220"/>
      <c r="M105" s="220"/>
      <c r="N105" s="220"/>
    </row>
    <row r="106" spans="2:17" ht="10.9" customHeight="1" x14ac:dyDescent="0.2">
      <c r="B106" s="190"/>
      <c r="C106" s="103"/>
      <c r="E106" s="220"/>
      <c r="F106" s="220"/>
      <c r="G106" s="220"/>
      <c r="H106" s="220"/>
      <c r="I106" s="220"/>
      <c r="J106" s="220"/>
      <c r="K106" s="220"/>
      <c r="L106" s="220"/>
      <c r="M106" s="220"/>
      <c r="N106" s="220"/>
    </row>
    <row r="107" spans="2:17" ht="10.9" customHeight="1" x14ac:dyDescent="0.2">
      <c r="B107" s="190"/>
      <c r="C107" s="103"/>
      <c r="E107" s="220"/>
      <c r="F107" s="220"/>
      <c r="G107" s="220"/>
      <c r="H107" s="220"/>
      <c r="I107" s="220"/>
      <c r="J107" s="220"/>
      <c r="K107" s="220"/>
      <c r="L107" s="220"/>
      <c r="M107" s="220"/>
      <c r="N107" s="220"/>
    </row>
    <row r="108" spans="2:17" ht="10.9" customHeight="1" x14ac:dyDescent="0.2">
      <c r="B108" s="190"/>
      <c r="C108" s="103"/>
      <c r="E108" s="220"/>
      <c r="F108" s="220"/>
      <c r="G108" s="220"/>
      <c r="H108" s="220"/>
      <c r="I108" s="220"/>
      <c r="J108" s="220"/>
      <c r="K108" s="220"/>
      <c r="L108" s="220"/>
      <c r="M108" s="220"/>
      <c r="N108" s="220"/>
    </row>
    <row r="109" spans="2:17" ht="10.9" customHeight="1" x14ac:dyDescent="0.2">
      <c r="B109" s="190"/>
      <c r="C109" s="103"/>
      <c r="E109" s="220"/>
      <c r="F109" s="220"/>
      <c r="G109" s="220"/>
      <c r="H109" s="220"/>
      <c r="I109" s="220"/>
      <c r="J109" s="220"/>
      <c r="K109" s="220"/>
      <c r="L109" s="220"/>
      <c r="M109" s="220"/>
      <c r="N109" s="220"/>
    </row>
    <row r="110" spans="2:17" ht="10.9" customHeight="1" x14ac:dyDescent="0.2">
      <c r="B110" s="190"/>
      <c r="C110" s="103"/>
      <c r="E110" s="220"/>
      <c r="F110" s="220"/>
      <c r="G110" s="220"/>
      <c r="H110" s="220"/>
      <c r="I110" s="220"/>
      <c r="J110" s="220"/>
      <c r="K110" s="220"/>
      <c r="L110" s="220"/>
      <c r="M110" s="220"/>
      <c r="N110" s="220"/>
    </row>
    <row r="111" spans="2:17" ht="10.9" customHeight="1" x14ac:dyDescent="0.2">
      <c r="B111" s="190"/>
      <c r="C111" s="103"/>
      <c r="E111" s="220"/>
      <c r="F111" s="220"/>
      <c r="G111" s="220"/>
      <c r="H111" s="220"/>
      <c r="I111" s="220"/>
      <c r="J111" s="220"/>
      <c r="K111" s="220"/>
      <c r="L111" s="220"/>
      <c r="M111" s="220"/>
      <c r="N111" s="220"/>
    </row>
    <row r="112" spans="2:17" ht="10.9" customHeight="1" x14ac:dyDescent="0.2">
      <c r="B112" s="190"/>
      <c r="C112" s="103"/>
      <c r="E112" s="220"/>
      <c r="F112" s="220"/>
      <c r="G112" s="220"/>
      <c r="H112" s="220"/>
      <c r="I112" s="220"/>
      <c r="J112" s="220"/>
      <c r="K112" s="220"/>
      <c r="L112" s="220"/>
      <c r="M112" s="220"/>
      <c r="N112" s="220"/>
    </row>
    <row r="113" spans="2:14" ht="10.9" customHeight="1" x14ac:dyDescent="0.2">
      <c r="B113" s="190"/>
      <c r="C113" s="103"/>
      <c r="E113" s="220"/>
      <c r="F113" s="220"/>
      <c r="G113" s="220"/>
      <c r="H113" s="220"/>
      <c r="I113" s="220"/>
      <c r="J113" s="220"/>
      <c r="K113" s="220"/>
      <c r="L113" s="220"/>
      <c r="M113" s="220"/>
      <c r="N113" s="220"/>
    </row>
    <row r="114" spans="2:14" ht="10.9" customHeight="1" x14ac:dyDescent="0.2">
      <c r="B114" s="190"/>
      <c r="C114" s="103"/>
      <c r="E114" s="220"/>
      <c r="F114" s="220"/>
      <c r="G114" s="220"/>
      <c r="H114" s="220"/>
      <c r="I114" s="220"/>
      <c r="J114" s="220"/>
      <c r="K114" s="220"/>
      <c r="L114" s="220"/>
      <c r="M114" s="220"/>
      <c r="N114" s="220"/>
    </row>
    <row r="115" spans="2:14" ht="10.9" customHeight="1" x14ac:dyDescent="0.2">
      <c r="E115" s="220"/>
      <c r="F115" s="220"/>
      <c r="G115" s="220"/>
      <c r="H115" s="220"/>
      <c r="I115" s="220"/>
      <c r="J115" s="220"/>
      <c r="K115" s="220"/>
      <c r="L115" s="220"/>
      <c r="M115" s="220"/>
      <c r="N115" s="220"/>
    </row>
    <row r="116" spans="2:14" ht="10.9" customHeight="1" x14ac:dyDescent="0.2">
      <c r="E116" s="220"/>
      <c r="F116" s="220"/>
      <c r="G116" s="220"/>
      <c r="H116" s="220"/>
      <c r="I116" s="220"/>
      <c r="J116" s="220"/>
      <c r="K116" s="220"/>
      <c r="L116" s="220"/>
      <c r="M116" s="220"/>
      <c r="N116" s="220"/>
    </row>
    <row r="117" spans="2:14" ht="10.9" customHeight="1" x14ac:dyDescent="0.2">
      <c r="E117" s="220"/>
      <c r="F117" s="220"/>
      <c r="G117" s="220"/>
      <c r="H117" s="220"/>
      <c r="I117" s="220"/>
      <c r="J117" s="220"/>
      <c r="K117" s="220"/>
      <c r="L117" s="220"/>
      <c r="M117" s="220"/>
      <c r="N117" s="220"/>
    </row>
    <row r="118" spans="2:14" ht="10.9" customHeight="1" x14ac:dyDescent="0.2">
      <c r="E118" s="220"/>
      <c r="F118" s="220"/>
      <c r="G118" s="220"/>
      <c r="H118" s="220"/>
      <c r="I118" s="220"/>
      <c r="J118" s="220"/>
      <c r="K118" s="220"/>
      <c r="L118" s="220"/>
      <c r="M118" s="220"/>
      <c r="N118" s="220"/>
    </row>
    <row r="119" spans="2:14" ht="10.9" customHeight="1" x14ac:dyDescent="0.2">
      <c r="E119" s="220"/>
      <c r="F119" s="220"/>
      <c r="G119" s="220"/>
      <c r="H119" s="220"/>
      <c r="I119" s="220"/>
      <c r="J119" s="220"/>
      <c r="K119" s="220"/>
      <c r="L119" s="220"/>
      <c r="M119" s="220"/>
      <c r="N119" s="220"/>
    </row>
    <row r="120" spans="2:14" ht="10.9" customHeight="1" x14ac:dyDescent="0.2">
      <c r="E120" s="220"/>
      <c r="F120" s="220"/>
      <c r="G120" s="220"/>
      <c r="H120" s="220"/>
      <c r="I120" s="220"/>
      <c r="J120" s="220"/>
      <c r="K120" s="220"/>
      <c r="L120" s="220"/>
      <c r="M120" s="220"/>
      <c r="N120" s="220"/>
    </row>
    <row r="121" spans="2:14" ht="10.9" customHeight="1" x14ac:dyDescent="0.2">
      <c r="E121" s="220"/>
      <c r="F121" s="220"/>
      <c r="G121" s="220"/>
      <c r="H121" s="220"/>
      <c r="I121" s="220"/>
      <c r="J121" s="220"/>
      <c r="K121" s="220"/>
      <c r="L121" s="220"/>
      <c r="M121" s="220"/>
      <c r="N121" s="220"/>
    </row>
    <row r="122" spans="2:14" ht="10.9" customHeight="1" x14ac:dyDescent="0.2">
      <c r="E122" s="220"/>
      <c r="F122" s="220"/>
      <c r="G122" s="220"/>
      <c r="H122" s="220"/>
      <c r="I122" s="220"/>
      <c r="J122" s="220"/>
      <c r="K122" s="220"/>
      <c r="L122" s="220"/>
      <c r="M122" s="220"/>
      <c r="N122" s="220"/>
    </row>
    <row r="123" spans="2:14" ht="10.9" customHeight="1" x14ac:dyDescent="0.2">
      <c r="E123" s="220"/>
      <c r="F123" s="220"/>
      <c r="G123" s="220"/>
      <c r="H123" s="220"/>
      <c r="I123" s="220"/>
      <c r="J123" s="220"/>
      <c r="K123" s="220"/>
      <c r="L123" s="220"/>
      <c r="M123" s="220"/>
      <c r="N123" s="220"/>
    </row>
    <row r="124" spans="2:14" ht="10.9" customHeight="1" x14ac:dyDescent="0.2">
      <c r="E124" s="220"/>
      <c r="F124" s="220"/>
      <c r="G124" s="220"/>
      <c r="H124" s="220"/>
      <c r="I124" s="220"/>
      <c r="J124" s="220"/>
      <c r="K124" s="220"/>
      <c r="L124" s="220"/>
      <c r="M124" s="220"/>
      <c r="N124" s="220"/>
    </row>
    <row r="125" spans="2:14" ht="10.9" customHeight="1" x14ac:dyDescent="0.2">
      <c r="E125" s="220"/>
      <c r="F125" s="220"/>
      <c r="G125" s="220"/>
      <c r="H125" s="220"/>
      <c r="I125" s="220"/>
      <c r="J125" s="220"/>
      <c r="K125" s="220"/>
      <c r="L125" s="220"/>
      <c r="M125" s="220"/>
      <c r="N125" s="220"/>
    </row>
  </sheetData>
  <sheetProtection password="EECE" sheet="1" objects="1" scenarios="1" formatCells="0" formatColumns="0" formatRows="0"/>
  <customSheetViews>
    <customSheetView guid="{C3088B2E-F853-4D7E-B687-C6500891DFCB}" scale="110" showPageBreaks="1" fitToPage="1" printArea="1">
      <pane xSplit="3" ySplit="6" topLeftCell="D7" activePane="bottomRight" state="frozen"/>
      <selection pane="bottomRight"/>
      <pageMargins left="0.47244094488188998" right="0.47244094488188998" top="0.59055118110236204" bottom="0.59055118110236204" header="0.39370078740157499" footer="0.39370078740157499"/>
      <pageSetup scale="81" fitToHeight="0" orientation="landscape" r:id="rId1"/>
      <headerFooter alignWithMargins="0">
        <oddFooter>&amp;L&amp;8&amp;D  &amp;T&amp;R&amp;8March 2014, Version 0.2</oddFooter>
      </headerFooter>
    </customSheetView>
    <customSheetView guid="{F866C9B2-56BF-4FE4-B270-CC8FE15A5892}" scale="110" showPageBreaks="1" fitToPage="1" printArea="1">
      <pane xSplit="2" ySplit="6" topLeftCell="D7" activePane="bottomRight" state="frozen"/>
      <selection pane="bottomRight"/>
      <pageMargins left="0.47244094488188998" right="0.47244094488188998" top="0.59055118110236204" bottom="0.59055118110236204" header="0.39370078740157499" footer="0.39370078740157499"/>
      <pageSetup scale="80" fitToHeight="0" orientation="landscape" r:id="rId2"/>
      <headerFooter alignWithMargins="0">
        <oddFooter>&amp;L&amp;8&amp;D  &amp;T&amp;R&amp;8March 2014, Version 0.2</oddFooter>
      </headerFooter>
    </customSheetView>
    <customSheetView guid="{D66484CB-9D53-43A1-A83D-11534BC40BF6}" scale="110" showPageBreaks="1" fitToPage="1" printArea="1">
      <pane xSplit="3" ySplit="6" topLeftCell="D7" activePane="bottomRight" state="frozen"/>
      <selection pane="bottomRight" activeCell="A8" sqref="A8"/>
      <pageMargins left="0.47244094488188998" right="0.47244094488188998" top="0.59055118110236204" bottom="0.59055118110236204" header="0.39370078740157499" footer="0.39370078740157499"/>
      <pageSetup scale="80" fitToHeight="0" orientation="landscape" r:id="rId3"/>
      <headerFooter alignWithMargins="0">
        <oddFooter>&amp;L&amp;8&amp;D  &amp;T&amp;R&amp;8March 2014, Version 0.2</oddFooter>
      </headerFooter>
    </customSheetView>
  </customSheetViews>
  <mergeCells count="12">
    <mergeCell ref="P4:Q4"/>
    <mergeCell ref="G3:H3"/>
    <mergeCell ref="G1:M1"/>
    <mergeCell ref="F2:N2"/>
    <mergeCell ref="B4:C5"/>
    <mergeCell ref="E4:H4"/>
    <mergeCell ref="I4:I5"/>
    <mergeCell ref="J4:J5"/>
    <mergeCell ref="K4:K5"/>
    <mergeCell ref="N3:N5"/>
    <mergeCell ref="L4:L5"/>
    <mergeCell ref="M4:M5"/>
  </mergeCells>
  <conditionalFormatting sqref="P8:Q43">
    <cfRule type="cellIs" dxfId="320" priority="33" operator="lessThan">
      <formula>-0.1</formula>
    </cfRule>
    <cfRule type="cellIs" dxfId="319" priority="34" operator="greaterThan">
      <formula>0.1</formula>
    </cfRule>
  </conditionalFormatting>
  <conditionalFormatting sqref="E87:N88 E93:K93 E89:F92 H89:K92 E99:N99 E94:F98 H94:K98 M89:N98">
    <cfRule type="containsText" dxfId="318" priority="21" operator="containsText" text="NV">
      <formula>NOT(ISERROR(SEARCH("NV",E87)))</formula>
    </cfRule>
    <cfRule type="containsText" dxfId="317" priority="32" operator="containsText" text="Vérifier!">
      <formula>NOT(ISERROR(SEARCH("Vérifier!",E87)))</formula>
    </cfRule>
  </conditionalFormatting>
  <conditionalFormatting sqref="G93">
    <cfRule type="containsText" dxfId="316" priority="17" operator="containsText" text="si">
      <formula>NOT(ISERROR(SEARCH("si",G93)))</formula>
    </cfRule>
  </conditionalFormatting>
  <conditionalFormatting sqref="E47:N86">
    <cfRule type="cellIs" dxfId="315" priority="13" operator="between">
      <formula>-0.1</formula>
      <formula>0.1</formula>
    </cfRule>
    <cfRule type="cellIs" dxfId="314" priority="14" operator="lessThan">
      <formula>-0.1</formula>
    </cfRule>
    <cfRule type="cellIs" dxfId="313" priority="15" operator="greaterThan">
      <formula>0.1</formula>
    </cfRule>
    <cfRule type="containsText" dxfId="312" priority="16" operator="containsText" text="NA">
      <formula>NOT(ISERROR(SEARCH("NA",E47)))</formula>
    </cfRule>
  </conditionalFormatting>
  <conditionalFormatting sqref="P9:Q43">
    <cfRule type="cellIs" dxfId="311" priority="11" operator="between">
      <formula>-0.1</formula>
      <formula>0.1</formula>
    </cfRule>
    <cfRule type="containsText" dxfId="310" priority="12" operator="containsText" text="NA">
      <formula>NOT(ISERROR(SEARCH("NA",P9)))</formula>
    </cfRule>
  </conditionalFormatting>
  <conditionalFormatting sqref="E47:N86">
    <cfRule type="containsText" dxfId="309" priority="10" operator="containsText" text="NA">
      <formula>NOT(ISERROR(SEARCH("NA",E47)))</formula>
    </cfRule>
  </conditionalFormatting>
  <conditionalFormatting sqref="G89:G92 G94:G98 L89:L92 L94:L98">
    <cfRule type="containsText" dxfId="308" priority="3" operator="containsText" text="Si">
      <formula>NOT(ISERROR(SEARCH("Si",G89)))</formula>
    </cfRule>
  </conditionalFormatting>
  <conditionalFormatting sqref="G89:G98 L89:L98">
    <cfRule type="containsText" dxfId="307" priority="2" operator="containsText" text="verificar">
      <formula>NOT(ISERROR(SEARCH("verificar",G89)))</formula>
    </cfRule>
  </conditionalFormatting>
  <conditionalFormatting sqref="G89:L98">
    <cfRule type="containsText" dxfId="306" priority="1" operator="containsText" text="v">
      <formula>NOT(ISERROR(SEARCH("v",G89)))</formula>
    </cfRule>
  </conditionalFormatting>
  <pageMargins left="0.47244094488188998" right="0.47244094488188998" top="0.59055118110236204" bottom="0.59055118110236204" header="0.39370078740157499" footer="0.39370078740157499"/>
  <pageSetup scale="80" fitToHeight="0" orientation="landscape" r:id="rId4"/>
  <headerFooter alignWithMargins="0">
    <oddFooter>&amp;L&amp;8&amp;D  &amp;T&amp;R&amp;8March 2014, Version 0.2</oddFooter>
  </headerFooter>
  <legacyDrawing r:id="rId5"/>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indexed="48"/>
    <pageSetUpPr fitToPage="1"/>
  </sheetPr>
  <dimension ref="A1:Q88"/>
  <sheetViews>
    <sheetView workbookViewId="0">
      <pane xSplit="3" ySplit="6" topLeftCell="D7" activePane="bottomRight" state="frozen"/>
      <selection activeCell="Q53" sqref="P8:Q53"/>
      <selection pane="topRight" activeCell="Q53" sqref="P8:Q53"/>
      <selection pane="bottomLeft" activeCell="Q53" sqref="P8:Q53"/>
      <selection pane="bottomRight" activeCell="B26" sqref="B26"/>
    </sheetView>
  </sheetViews>
  <sheetFormatPr baseColWidth="10" defaultColWidth="9.140625" defaultRowHeight="12.75" x14ac:dyDescent="0.2"/>
  <cols>
    <col min="1" max="1" width="7.28515625" style="221" customWidth="1"/>
    <col min="2" max="2" width="50.7109375" style="164" customWidth="1"/>
    <col min="3" max="3" width="0.85546875" style="164" customWidth="1"/>
    <col min="4" max="13" width="10" style="164" customWidth="1"/>
    <col min="14" max="14" width="3.28515625" style="164" customWidth="1"/>
    <col min="15" max="16" width="11.7109375" style="164" customWidth="1"/>
    <col min="17" max="17" width="9.140625" style="164" customWidth="1"/>
    <col min="18" max="16384" width="9.140625" style="164"/>
  </cols>
  <sheetData>
    <row r="1" spans="1:17" ht="14.25" x14ac:dyDescent="0.25">
      <c r="A1" s="513" t="str">
        <f>+Coverpage!A1</f>
        <v>GFSM2014_V1.5</v>
      </c>
      <c r="B1" s="514"/>
      <c r="C1" s="515"/>
      <c r="D1" s="516"/>
      <c r="E1" s="517"/>
      <c r="F1" s="771" t="str">
        <f>Reporting_Country_Name</f>
        <v>Colombia</v>
      </c>
      <c r="G1" s="771"/>
      <c r="H1" s="771"/>
      <c r="I1" s="771"/>
      <c r="J1" s="771"/>
      <c r="K1" s="771"/>
      <c r="L1" s="771"/>
      <c r="M1" s="518" t="str">
        <f>Reporting_Country_Code</f>
        <v>233</v>
      </c>
      <c r="N1" s="519"/>
      <c r="O1" s="694" t="s">
        <v>2731</v>
      </c>
      <c r="P1" s="166"/>
    </row>
    <row r="2" spans="1:17" ht="14.25" x14ac:dyDescent="0.25">
      <c r="A2" s="513" t="s">
        <v>2858</v>
      </c>
      <c r="B2" s="582"/>
      <c r="C2" s="583"/>
      <c r="D2" s="589"/>
      <c r="E2" s="780" t="str">
        <f>"En "&amp;Coverpage!$I$15&amp;" de "&amp;Coverpage!$I$14&amp;" / El año fiscal termina en "&amp;Coverpage!$I$11&amp;" "&amp;Coverpage!$I$12</f>
        <v xml:space="preserve">En Billion de Colombian Pesos (COP) / El año fiscal termina en  </v>
      </c>
      <c r="F2" s="781"/>
      <c r="G2" s="781"/>
      <c r="H2" s="781"/>
      <c r="I2" s="781"/>
      <c r="J2" s="781"/>
      <c r="K2" s="781"/>
      <c r="L2" s="781"/>
      <c r="M2" s="781"/>
      <c r="N2" s="519"/>
      <c r="O2" s="695" t="s">
        <v>2732</v>
      </c>
      <c r="P2" s="167"/>
    </row>
    <row r="3" spans="1:17" ht="12" customHeight="1" x14ac:dyDescent="0.25">
      <c r="A3" s="524"/>
      <c r="B3" s="525"/>
      <c r="C3" s="526"/>
      <c r="D3" s="527"/>
      <c r="E3" s="528"/>
      <c r="F3" s="784" t="s">
        <v>2726</v>
      </c>
      <c r="G3" s="784"/>
      <c r="H3" s="529" t="str">
        <f>Reporting_Period_Code</f>
        <v>2016</v>
      </c>
      <c r="I3" s="529"/>
      <c r="J3" s="528"/>
      <c r="K3" s="528"/>
      <c r="L3" s="530"/>
      <c r="M3" s="790" t="s">
        <v>2723</v>
      </c>
      <c r="N3" s="531"/>
      <c r="O3" s="103"/>
      <c r="P3" s="103"/>
    </row>
    <row r="4" spans="1:17" ht="12" customHeight="1" x14ac:dyDescent="0.2">
      <c r="A4" s="785" t="s">
        <v>2857</v>
      </c>
      <c r="B4" s="786"/>
      <c r="C4" s="532"/>
      <c r="D4" s="787" t="s">
        <v>2727</v>
      </c>
      <c r="E4" s="788"/>
      <c r="F4" s="788"/>
      <c r="G4" s="789"/>
      <c r="H4" s="790" t="s">
        <v>2719</v>
      </c>
      <c r="I4" s="790" t="s">
        <v>2720</v>
      </c>
      <c r="J4" s="792" t="s">
        <v>2721</v>
      </c>
      <c r="K4" s="790" t="s">
        <v>2728</v>
      </c>
      <c r="L4" s="793" t="s">
        <v>2722</v>
      </c>
      <c r="M4" s="791"/>
      <c r="N4" s="531"/>
      <c r="O4" s="778" t="s">
        <v>2733</v>
      </c>
      <c r="P4" s="779"/>
    </row>
    <row r="5" spans="1:17" ht="30" customHeight="1" x14ac:dyDescent="0.2">
      <c r="A5" s="785"/>
      <c r="B5" s="786"/>
      <c r="C5" s="532"/>
      <c r="D5" s="711" t="s">
        <v>2729</v>
      </c>
      <c r="E5" s="712" t="s">
        <v>2813</v>
      </c>
      <c r="F5" s="712" t="s">
        <v>2728</v>
      </c>
      <c r="G5" s="713" t="s">
        <v>2718</v>
      </c>
      <c r="H5" s="791"/>
      <c r="I5" s="791"/>
      <c r="J5" s="792"/>
      <c r="K5" s="791"/>
      <c r="L5" s="793"/>
      <c r="M5" s="791"/>
      <c r="N5" s="531"/>
      <c r="O5" s="668" t="s">
        <v>2734</v>
      </c>
      <c r="P5" s="669" t="s">
        <v>2735</v>
      </c>
    </row>
    <row r="6" spans="1:17" ht="10.5" customHeight="1" x14ac:dyDescent="0.2">
      <c r="A6" s="536"/>
      <c r="B6" s="537"/>
      <c r="C6" s="537"/>
      <c r="D6" s="538" t="s">
        <v>632</v>
      </c>
      <c r="E6" s="539" t="s">
        <v>633</v>
      </c>
      <c r="F6" s="539" t="s">
        <v>155</v>
      </c>
      <c r="G6" s="539" t="s">
        <v>634</v>
      </c>
      <c r="H6" s="540" t="s">
        <v>635</v>
      </c>
      <c r="I6" s="539" t="s">
        <v>636</v>
      </c>
      <c r="J6" s="540" t="s">
        <v>637</v>
      </c>
      <c r="K6" s="539" t="s">
        <v>156</v>
      </c>
      <c r="L6" s="541" t="s">
        <v>638</v>
      </c>
      <c r="M6" s="541" t="s">
        <v>639</v>
      </c>
      <c r="N6" s="531"/>
      <c r="O6" s="171" t="s">
        <v>640</v>
      </c>
      <c r="P6" s="172" t="s">
        <v>641</v>
      </c>
      <c r="Q6" s="103"/>
    </row>
    <row r="7" spans="1:17" ht="12.95" customHeight="1" x14ac:dyDescent="0.2">
      <c r="A7" s="591" t="s">
        <v>990</v>
      </c>
      <c r="B7" s="548" t="s">
        <v>2842</v>
      </c>
      <c r="C7" s="532" t="s">
        <v>48</v>
      </c>
      <c r="D7" s="543"/>
      <c r="E7" s="543"/>
      <c r="F7" s="543"/>
      <c r="G7" s="544"/>
      <c r="H7" s="543"/>
      <c r="I7" s="543"/>
      <c r="J7" s="544"/>
      <c r="K7" s="543"/>
      <c r="L7" s="545"/>
      <c r="M7" s="543"/>
      <c r="N7" s="581"/>
      <c r="O7" s="178"/>
      <c r="P7" s="179"/>
      <c r="Q7" s="103"/>
    </row>
    <row r="8" spans="1:17" ht="12.95" customHeight="1" x14ac:dyDescent="0.25">
      <c r="A8" s="547" t="s">
        <v>1398</v>
      </c>
      <c r="B8" s="548" t="s">
        <v>2843</v>
      </c>
      <c r="C8" s="532" t="s">
        <v>48</v>
      </c>
      <c r="D8" s="479">
        <f>IF(ISBLANK(Table6!E103),"",Table6!E103)</f>
        <v>146675.48000000001</v>
      </c>
      <c r="E8" s="479">
        <f>IF(ISBLANK(Table6!F103),"",Table6!F103)</f>
        <v>37072.461000000003</v>
      </c>
      <c r="F8" s="479">
        <f>IF(ISBLANK(Table6!G103),"",Table6!G103)</f>
        <v>0</v>
      </c>
      <c r="G8" s="504">
        <f>IF(ISBLANK(Table6!H103),"",Table6!H103)</f>
        <v>183747.94099999999</v>
      </c>
      <c r="H8" s="479">
        <f>IF(ISBLANK(Table6!I103),"",Table6!I103)</f>
        <v>1059.999</v>
      </c>
      <c r="I8" s="479">
        <f>IF(ISBLANK(Table6!J103),"",Table6!J103)</f>
        <v>9809.1849999999995</v>
      </c>
      <c r="J8" s="479">
        <f>IF(ISBLANK(Table6!K103),"",Table6!K103)</f>
        <v>68589.317999999999</v>
      </c>
      <c r="K8" s="479">
        <f>IF(ISBLANK(Table6!L103),"",Table6!L103)</f>
        <v>0</v>
      </c>
      <c r="L8" s="505">
        <f>IF(ISBLANK(Table6!M103),"",Table6!M103)</f>
        <v>263206.44300000003</v>
      </c>
      <c r="M8" s="479">
        <f>IF(ISBLANK(Table6!N103),"",Table6!N103)</f>
        <v>184807.94</v>
      </c>
      <c r="N8" s="581"/>
      <c r="O8" s="178">
        <f>IF(OR(G8="NA",D8="NA",E8="NA",F8="NA"),"NA",SUM(G8)-SUM(D8:F8))</f>
        <v>-2.9103830456733704E-11</v>
      </c>
      <c r="P8" s="179">
        <f>IF(OR(L8="NA",G8="NA",H8="NA",I8="NA",J8="NA",K8="NA"),"NA",SUM(L8)-SUM(G8:K8))</f>
        <v>5.8207660913467407E-11</v>
      </c>
      <c r="Q8" s="103"/>
    </row>
    <row r="9" spans="1:17" ht="9.75" customHeight="1" x14ac:dyDescent="0.2">
      <c r="A9" s="549" t="s">
        <v>158</v>
      </c>
      <c r="B9" s="550" t="s">
        <v>2844</v>
      </c>
      <c r="C9" s="532" t="s">
        <v>48</v>
      </c>
      <c r="D9" s="479">
        <f>IF(ISBLANK(Table3!E9),"",Table3!E9)</f>
        <v>9368.8477039999998</v>
      </c>
      <c r="E9" s="479">
        <f>IF(ISBLANK(Table3!F9),"",Table3!F9)</f>
        <v>-130.14933100000002</v>
      </c>
      <c r="F9" s="479">
        <f>IF(ISBLANK(Table3!G9),"",Table3!G9)</f>
        <v>0</v>
      </c>
      <c r="G9" s="504">
        <f>IF(ISBLANK(Table3!H9),"",Table3!H9)</f>
        <v>9238.6983729999993</v>
      </c>
      <c r="H9" s="479">
        <f>IF(ISBLANK(Table3!I9),"",Table3!I9)</f>
        <v>529.74416599999995</v>
      </c>
      <c r="I9" s="479">
        <f>IF(ISBLANK(Table3!J9),"",Table3!J9)</f>
        <v>2185.7212089999998</v>
      </c>
      <c r="J9" s="479">
        <f>IF(ISBLANK(Table3!K9),"",Table3!K9)</f>
        <v>7747.2745940000004</v>
      </c>
      <c r="K9" s="479">
        <f>IF(ISBLANK(Table3!L9),"",Table3!L9)</f>
        <v>0</v>
      </c>
      <c r="L9" s="505">
        <f>IF(ISBLANK(Table3!M9),"",Table3!M9)</f>
        <v>19701.438341999998</v>
      </c>
      <c r="M9" s="479">
        <f>IF(ISBLANK(Table3!N9),"",Table3!N9)</f>
        <v>9768.4425389999979</v>
      </c>
      <c r="N9" s="581"/>
      <c r="O9" s="178">
        <f>IF(OR(G9="NA",D9="NA",E9="NA",F9="NA"),"NA",SUM(G9)-SUM(D9:F9))</f>
        <v>0</v>
      </c>
      <c r="P9" s="179">
        <f>IF(OR(L9="NA",G9="NA",H9="NA",I9="NA",J9="NA",K9="NA"),"NA",SUM(L9)-SUM(G9:K9))</f>
        <v>-3.637978807091713E-12</v>
      </c>
      <c r="Q9" s="103"/>
    </row>
    <row r="10" spans="1:17" ht="9.75" customHeight="1" x14ac:dyDescent="0.2">
      <c r="A10" s="549" t="s">
        <v>174</v>
      </c>
      <c r="B10" s="550" t="s">
        <v>2845</v>
      </c>
      <c r="C10" s="532" t="s">
        <v>48</v>
      </c>
      <c r="D10" s="479">
        <f>IF(ISBLANK(Table9!E9),"",Table9!E9)</f>
        <v>3748.3460230000001</v>
      </c>
      <c r="E10" s="479">
        <f>IF(ISBLANK(Table9!F9),"",Table9!F9)</f>
        <v>512.27376700000002</v>
      </c>
      <c r="F10" s="479">
        <f>IF(ISBLANK(Table9!G9),"",Table9!G9)</f>
        <v>0</v>
      </c>
      <c r="G10" s="479">
        <f>IF(ISBLANK(Table9!H9),"",Table9!H9)</f>
        <v>4260.6197899999997</v>
      </c>
      <c r="H10" s="479">
        <f>IF(ISBLANK(Table9!I9),"",Table9!I9)</f>
        <v>-466.00256999999999</v>
      </c>
      <c r="I10" s="479">
        <f>IF(ISBLANK(Table9!J9),"",Table9!J9)</f>
        <v>145.30553200000006</v>
      </c>
      <c r="J10" s="479">
        <f>IF(ISBLANK(Table9!K9),"",Table9!K9)</f>
        <v>1616.9324259999999</v>
      </c>
      <c r="K10" s="479">
        <f>IF(ISBLANK(Table9!L9),"",Table9!L9)</f>
        <v>0</v>
      </c>
      <c r="L10" s="479">
        <f>IF(ISBLANK(Table9!M9),"",Table9!M9)</f>
        <v>5556.8551779999998</v>
      </c>
      <c r="M10" s="479">
        <f>IF(ISBLANK(Table9!N9),"",Table9!N9)</f>
        <v>3794.6172199999996</v>
      </c>
      <c r="N10" s="581"/>
      <c r="O10" s="178">
        <f>IF(OR(G10="NA",D10="NA",E10="NA",F10="NA"),"NA",SUM(G10)-SUM(D10:F10))</f>
        <v>0</v>
      </c>
      <c r="P10" s="179">
        <f>IF(OR(L10="NA",G10="NA",H10="NA",I10="NA",J10="NA",K10="NA"),"NA",SUM(L10)-SUM(G10:K10))</f>
        <v>0</v>
      </c>
      <c r="Q10" s="103"/>
    </row>
    <row r="11" spans="1:17" ht="12.95" customHeight="1" x14ac:dyDescent="0.25">
      <c r="A11" s="547" t="s">
        <v>1399</v>
      </c>
      <c r="B11" s="548" t="s">
        <v>2846</v>
      </c>
      <c r="C11" s="532" t="s">
        <v>48</v>
      </c>
      <c r="D11" s="479">
        <f>IF(ISBLANK(Table6!E9),"",Table6!E9)</f>
        <v>118001.98876100002</v>
      </c>
      <c r="E11" s="479">
        <f>IF(ISBLANK(Table6!F9),"",Table6!F9)</f>
        <v>4008.8938469999998</v>
      </c>
      <c r="F11" s="479">
        <f>IF(ISBLANK(Table6!G9),"",Table6!G9)</f>
        <v>0</v>
      </c>
      <c r="G11" s="479">
        <f>IF(ISBLANK(Table6!H9),"",Table6!H9)</f>
        <v>122010.882608</v>
      </c>
      <c r="H11" s="479">
        <f>IF(ISBLANK(Table6!I9),"",Table6!I9)</f>
        <v>6676.6136219999999</v>
      </c>
      <c r="I11" s="479">
        <f>IF(ISBLANK(Table6!J9),"",Table6!J9)</f>
        <v>47136.089351999995</v>
      </c>
      <c r="J11" s="479">
        <f>IF(ISBLANK(Table6!K9),"",Table6!K9)</f>
        <v>161091.43947099999</v>
      </c>
      <c r="K11" s="479">
        <f>IF(ISBLANK(Table6!L9),"",Table6!L9)</f>
        <v>0</v>
      </c>
      <c r="L11" s="479">
        <f>IF(ISBLANK(Table6!M9),"",Table6!M9)</f>
        <v>336915.02505299996</v>
      </c>
      <c r="M11" s="479">
        <f>IF(ISBLANK(Table6!N9),"",Table6!N9)</f>
        <v>128687.49622999999</v>
      </c>
      <c r="N11" s="581"/>
      <c r="O11" s="178">
        <f>IF(OR(G11="NA",D11="NA",E11="NA",F11="NA"),"NA",SUM(G11)-SUM(D11:F11))</f>
        <v>-1.4551915228366852E-11</v>
      </c>
      <c r="P11" s="179">
        <f>IF(OR(L11="NA",G11="NA",H11="NA",I11="NA",J11="NA",K11="NA"),"NA",SUM(L11)-SUM(G11:K11))</f>
        <v>0</v>
      </c>
      <c r="Q11" s="103"/>
    </row>
    <row r="12" spans="1:17" ht="12.95" customHeight="1" x14ac:dyDescent="0.2">
      <c r="A12" s="551" t="s">
        <v>277</v>
      </c>
      <c r="B12" s="584" t="s">
        <v>2847</v>
      </c>
      <c r="C12" s="532" t="s">
        <v>48</v>
      </c>
      <c r="D12" s="501">
        <f>IF(AND(D11="NP",D8="NP",D9="NP",D10="NP"),"NP",IF(OR(D11="NA",D8="NA",D9="NA",D10="NA"),"NA",IF(ISNUMBER(D11)*ISNUMBER(D8)*ISNUMBER(D9)*ISNUMBER(D10),SUM(D11)-SUM(D8)-SUM(D9)-SUM(D10),"")))</f>
        <v>-41790.684965999993</v>
      </c>
      <c r="E12" s="501">
        <f t="shared" ref="E12:M12" si="0">IF(AND(E11="NP",E8="NP",E9="NP",E10="NP"),"NP",IF(OR(E11="NA",E8="NA",E9="NA",E10="NA"),"NA",IF(ISNUMBER(E11)*ISNUMBER(E8)*ISNUMBER(E9)*ISNUMBER(E10),SUM(E11)-SUM(E8)-SUM(E9)-SUM(E10),"")))</f>
        <v>-33445.691589000002</v>
      </c>
      <c r="F12" s="501">
        <f t="shared" si="0"/>
        <v>0</v>
      </c>
      <c r="G12" s="501">
        <f t="shared" si="0"/>
        <v>-75236.376554999995</v>
      </c>
      <c r="H12" s="501">
        <f t="shared" si="0"/>
        <v>5552.8730260000002</v>
      </c>
      <c r="I12" s="501">
        <f t="shared" si="0"/>
        <v>34995.877610999996</v>
      </c>
      <c r="J12" s="501">
        <f t="shared" si="0"/>
        <v>83137.91445099999</v>
      </c>
      <c r="K12" s="501">
        <f t="shared" si="0"/>
        <v>0</v>
      </c>
      <c r="L12" s="501">
        <f t="shared" si="0"/>
        <v>48450.288532999941</v>
      </c>
      <c r="M12" s="501">
        <f t="shared" si="0"/>
        <v>-69683.503529000009</v>
      </c>
      <c r="N12" s="581"/>
      <c r="O12" s="181">
        <f>IF(OR(G12="NA",D12="NA",E12="NA",F12="NA"),"NA",SUM(G12)-SUM(D12:F12))</f>
        <v>0</v>
      </c>
      <c r="P12" s="182">
        <f>IF(OR(L12="NA",G12="NA",H12="NA",I12="NA",J12="NA",K12="NA"),"NA",SUM(L12)-SUM(G12:K12))</f>
        <v>-5.0931703299283981E-11</v>
      </c>
      <c r="Q12" s="103"/>
    </row>
    <row r="13" spans="1:17" ht="12.95" customHeight="1" x14ac:dyDescent="0.2">
      <c r="A13" s="591" t="s">
        <v>990</v>
      </c>
      <c r="B13" s="548" t="s">
        <v>2848</v>
      </c>
      <c r="C13" s="532" t="s">
        <v>48</v>
      </c>
      <c r="D13" s="687"/>
      <c r="E13" s="544"/>
      <c r="F13" s="544"/>
      <c r="G13" s="544"/>
      <c r="H13" s="544"/>
      <c r="I13" s="544"/>
      <c r="J13" s="544"/>
      <c r="K13" s="544"/>
      <c r="L13" s="544"/>
      <c r="M13" s="545"/>
      <c r="N13" s="581"/>
      <c r="O13" s="178"/>
      <c r="P13" s="179"/>
      <c r="Q13" s="103"/>
    </row>
    <row r="14" spans="1:17" ht="12.95" customHeight="1" x14ac:dyDescent="0.25">
      <c r="A14" s="547" t="s">
        <v>1400</v>
      </c>
      <c r="B14" s="548" t="s">
        <v>2843</v>
      </c>
      <c r="C14" s="532" t="s">
        <v>48</v>
      </c>
      <c r="D14" s="680">
        <f>IF(ISBLANK(Table6!E104),"",Table6!E104)</f>
        <v>194976.364</v>
      </c>
      <c r="E14" s="680">
        <f>IF(ISBLANK(Table6!F104),"",Table6!F104)</f>
        <v>24493.531999999999</v>
      </c>
      <c r="F14" s="680">
        <f>IF(ISBLANK(Table6!G104),"",Table6!G104)</f>
        <v>-6935.5889999999999</v>
      </c>
      <c r="G14" s="685">
        <f>IF(ISBLANK(Table6!H104),"",Table6!H104)</f>
        <v>212534.307</v>
      </c>
      <c r="H14" s="680">
        <f>IF(ISBLANK(Table6!I104),"",Table6!I104)</f>
        <v>17021.364000000001</v>
      </c>
      <c r="I14" s="680">
        <f>IF(ISBLANK(Table6!J104),"",Table6!J104)</f>
        <v>46190.49</v>
      </c>
      <c r="J14" s="680">
        <f>IF(ISBLANK(Table6!K104),"",Table6!K104)</f>
        <v>106613.02899999999</v>
      </c>
      <c r="K14" s="680">
        <f>IF(ISBLANK(Table6!L104),"",Table6!L104)</f>
        <v>-8910.7009999999991</v>
      </c>
      <c r="L14" s="686">
        <f>IF(ISBLANK(Table6!M104),"",Table6!M104)</f>
        <v>373448.489</v>
      </c>
      <c r="M14" s="680">
        <f>IF(ISBLANK(Table6!N104),"",Table6!N104)</f>
        <v>229555.671</v>
      </c>
      <c r="N14" s="581"/>
      <c r="O14" s="178">
        <f>IF(OR(G14="NA",D14="NA",E14="NA",F14="NA"),"NA",SUM(G14)-SUM(D14:F14))</f>
        <v>0</v>
      </c>
      <c r="P14" s="179">
        <f>IF(OR(L14="NA",G14="NA",H14="NA",I14="NA",J14="NA",K14="NA"),"NA",SUM(L14)-SUM(G14:K14))</f>
        <v>0</v>
      </c>
      <c r="Q14" s="103"/>
    </row>
    <row r="15" spans="1:17" ht="9.75" customHeight="1" x14ac:dyDescent="0.2">
      <c r="A15" s="549" t="s">
        <v>1094</v>
      </c>
      <c r="B15" s="550" t="s">
        <v>2844</v>
      </c>
      <c r="C15" s="532" t="s">
        <v>48</v>
      </c>
      <c r="D15" s="479">
        <f>IF(ISBLANK(Table3!E22),"",Table3!E22)</f>
        <v>40146.564456074004</v>
      </c>
      <c r="E15" s="479">
        <f>IF(ISBLANK(Table3!F22),"",Table3!F22)</f>
        <v>290.27115099999992</v>
      </c>
      <c r="F15" s="479">
        <f>IF(ISBLANK(Table3!G22),"",Table3!G22)</f>
        <v>-1913.3820000000001</v>
      </c>
      <c r="G15" s="504">
        <f>IF(ISBLANK(Table3!H22),"",Table3!H22)</f>
        <v>38523.453607074</v>
      </c>
      <c r="H15" s="479">
        <f>IF(ISBLANK(Table3!I22),"",Table3!I22)</f>
        <v>158.349377</v>
      </c>
      <c r="I15" s="479">
        <f>IF(ISBLANK(Table3!J22),"",Table3!J22)</f>
        <v>3765.364959172</v>
      </c>
      <c r="J15" s="479">
        <f>IF(ISBLANK(Table3!K22),"",Table3!K22)</f>
        <v>10251.060048019999</v>
      </c>
      <c r="K15" s="479">
        <f>IF(ISBLANK(Table3!L22),"",Table3!L22)</f>
        <v>-844.96100000000001</v>
      </c>
      <c r="L15" s="505">
        <f>IF(ISBLANK(Table3!M22),"",Table3!M22)</f>
        <v>51853.266991265999</v>
      </c>
      <c r="M15" s="479">
        <f>IF(ISBLANK(Table3!N22),"",Table3!N22)</f>
        <v>38681.802984073998</v>
      </c>
      <c r="N15" s="581"/>
      <c r="O15" s="178">
        <f>IF(OR(G15="NA",D15="NA",E15="NA",F15="NA"),"NA",SUM(G15)-SUM(D15:F15))</f>
        <v>-7.2759576141834259E-12</v>
      </c>
      <c r="P15" s="179">
        <f>IF(OR(L15="NA",G15="NA",H15="NA",I15="NA",J15="NA",K15="NA"),"NA",SUM(L15)-SUM(G15:K15))</f>
        <v>0</v>
      </c>
      <c r="Q15" s="103"/>
    </row>
    <row r="16" spans="1:17" ht="9.75" customHeight="1" x14ac:dyDescent="0.2">
      <c r="A16" s="549" t="s">
        <v>1373</v>
      </c>
      <c r="B16" s="550" t="s">
        <v>2849</v>
      </c>
      <c r="C16" s="532" t="s">
        <v>48</v>
      </c>
      <c r="D16" s="479">
        <f>IF(ISBLANK(Table9!E14),"",Table9!E14)</f>
        <v>-16280.126593000001</v>
      </c>
      <c r="E16" s="479">
        <f>IF(ISBLANK(Table9!F14),"",Table9!F14)</f>
        <v>-285.42622799999998</v>
      </c>
      <c r="F16" s="479">
        <f>IF(ISBLANK(Table9!G14),"",Table9!G14)</f>
        <v>0</v>
      </c>
      <c r="G16" s="479">
        <f>IF(ISBLANK(Table9!H14),"",Table9!H14)</f>
        <v>-16565.552821000001</v>
      </c>
      <c r="H16" s="479">
        <f>IF(ISBLANK(Table9!I14),"",Table9!I14)</f>
        <v>681.23568599999999</v>
      </c>
      <c r="I16" s="479">
        <f>IF(ISBLANK(Table9!J14),"",Table9!J14)</f>
        <v>526.47705200000007</v>
      </c>
      <c r="J16" s="479">
        <f>IF(ISBLANK(Table9!K14),"",Table9!K14)</f>
        <v>-3252.1584729999995</v>
      </c>
      <c r="K16" s="479">
        <f>IF(ISBLANK(Table9!L14),"",Table9!L14)</f>
        <v>0</v>
      </c>
      <c r="L16" s="479">
        <f>IF(ISBLANK(Table9!M14),"",Table9!M14)</f>
        <v>-18609.998555999999</v>
      </c>
      <c r="M16" s="479">
        <f>IF(ISBLANK(Table9!N14),"",Table9!N14)</f>
        <v>-15884.317135000001</v>
      </c>
      <c r="N16" s="581"/>
      <c r="O16" s="178">
        <f>IF(OR(G16="NA",D16="NA",E16="NA",F16="NA"),"NA",SUM(G16)-SUM(D16:F16))</f>
        <v>0</v>
      </c>
      <c r="P16" s="179">
        <f>IF(OR(L16="NA",G16="NA",H16="NA",I16="NA",J16="NA",K16="NA"),"NA",SUM(L16)-SUM(G16:K16))</f>
        <v>0</v>
      </c>
      <c r="Q16" s="103"/>
    </row>
    <row r="17" spans="1:17" ht="12.95" customHeight="1" x14ac:dyDescent="0.25">
      <c r="A17" s="547" t="s">
        <v>1401</v>
      </c>
      <c r="B17" s="548" t="s">
        <v>2846</v>
      </c>
      <c r="C17" s="532" t="s">
        <v>48</v>
      </c>
      <c r="D17" s="479">
        <f>IF(ISBLANK(Table6!E22),"",Table6!E22)</f>
        <v>218315.59045801201</v>
      </c>
      <c r="E17" s="479">
        <f>IF(ISBLANK(Table6!F22),"",Table6!F22)</f>
        <v>6523.0890589999999</v>
      </c>
      <c r="F17" s="479">
        <f>IF(ISBLANK(Table6!G22),"",Table6!G22)</f>
        <v>-1383.0478985519785</v>
      </c>
      <c r="G17" s="504">
        <f>IF(ISBLANK(Table6!H22),"",Table6!H22)</f>
        <v>223455.63161846</v>
      </c>
      <c r="H17" s="479">
        <f>IF(ISBLANK(Table6!I22),"",Table6!I22)</f>
        <v>18814.034330999999</v>
      </c>
      <c r="I17" s="479">
        <f>IF(ISBLANK(Table6!J22),"",Table6!J22)</f>
        <v>46868.350549365001</v>
      </c>
      <c r="J17" s="479">
        <f>IF(ISBLANK(Table6!K22),"",Table6!K22)</f>
        <v>86138.03522002</v>
      </c>
      <c r="K17" s="479">
        <f>IF(ISBLANK(Table6!L22),"",Table6!L22)</f>
        <v>-10931.572936744</v>
      </c>
      <c r="L17" s="505">
        <f>IF(ISBLANK(Table6!M22),"",Table6!M22)</f>
        <v>364344.47878210101</v>
      </c>
      <c r="M17" s="479">
        <f>IF(ISBLANK(Table6!N22),"",Table6!N22)</f>
        <v>242269.66594946</v>
      </c>
      <c r="N17" s="581"/>
      <c r="O17" s="178">
        <f>IF(OR(G17="NA",D17="NA",E17="NA",F17="NA"),"NA",SUM(G17)-SUM(D17:F17))</f>
        <v>-2.9103830456733704E-11</v>
      </c>
      <c r="P17" s="179">
        <f>IF(OR(L17="NA",G17="NA",H17="NA",I17="NA",J17="NA",K17="NA"),"NA",SUM(L17)-SUM(G17:K17))</f>
        <v>5.8207660913467407E-11</v>
      </c>
      <c r="Q17" s="103"/>
    </row>
    <row r="18" spans="1:17" ht="12.95" customHeight="1" x14ac:dyDescent="0.2">
      <c r="A18" s="551" t="s">
        <v>278</v>
      </c>
      <c r="B18" s="584" t="s">
        <v>2850</v>
      </c>
      <c r="C18" s="532" t="s">
        <v>48</v>
      </c>
      <c r="D18" s="501">
        <f>IF(AND(D17="NP",D14="NP",D15="NP",D16="NP"),"NP",IF(OR(D17="NA",D14="NA",D15="NA",D16="NA"),"NA",IF(ISNUMBER(D17)*ISNUMBER(D14)*ISNUMBER(D15)*ISNUMBER(D16),SUM(D17)-SUM(D14)-SUM(D15)-SUM(D16),"")))</f>
        <v>-527.21140506199299</v>
      </c>
      <c r="E18" s="501">
        <f t="shared" ref="E18:M18" si="1">IF(AND(E17="NP",E14="NP",E15="NP",E16="NP"),"NP",IF(OR(E17="NA",E14="NA",E15="NA",E16="NA"),"NA",IF(ISNUMBER(E17)*ISNUMBER(E14)*ISNUMBER(E15)*ISNUMBER(E16),SUM(E17)-SUM(E14)-SUM(E15)-SUM(E16),"")))</f>
        <v>-17975.287864000002</v>
      </c>
      <c r="F18" s="501">
        <f t="shared" si="1"/>
        <v>7465.923101448021</v>
      </c>
      <c r="G18" s="501">
        <f t="shared" si="1"/>
        <v>-11036.576167613999</v>
      </c>
      <c r="H18" s="501">
        <f t="shared" si="1"/>
        <v>953.08526799999754</v>
      </c>
      <c r="I18" s="501">
        <f t="shared" si="1"/>
        <v>-3613.9814618069972</v>
      </c>
      <c r="J18" s="501">
        <f t="shared" si="1"/>
        <v>-27473.895354999997</v>
      </c>
      <c r="K18" s="501">
        <f t="shared" si="1"/>
        <v>-1175.9109367440008</v>
      </c>
      <c r="L18" s="501">
        <f t="shared" si="1"/>
        <v>-42347.278653164991</v>
      </c>
      <c r="M18" s="501">
        <f t="shared" si="1"/>
        <v>-10083.490899613997</v>
      </c>
      <c r="N18" s="581"/>
      <c r="O18" s="181">
        <f>IF(OR(G18="NA",D18="NA",E18="NA",F18="NA"),"NA",SUM(G18)-SUM(D18:F18))</f>
        <v>-2.5465851649641991E-11</v>
      </c>
      <c r="P18" s="182">
        <f>IF(OR(L18="NA",G18="NA",H18="NA",I18="NA",J18="NA",K18="NA"),"NA",SUM(L18)-SUM(G18:K18))</f>
        <v>7.2759576141834259E-12</v>
      </c>
      <c r="Q18" s="103"/>
    </row>
    <row r="19" spans="1:17" ht="12.95" customHeight="1" x14ac:dyDescent="0.2">
      <c r="A19" s="591" t="s">
        <v>990</v>
      </c>
      <c r="B19" s="548" t="s">
        <v>2851</v>
      </c>
      <c r="C19" s="532" t="s">
        <v>48</v>
      </c>
      <c r="D19" s="687"/>
      <c r="E19" s="544"/>
      <c r="F19" s="544"/>
      <c r="G19" s="544"/>
      <c r="H19" s="544"/>
      <c r="I19" s="544"/>
      <c r="J19" s="544"/>
      <c r="K19" s="544"/>
      <c r="L19" s="544"/>
      <c r="M19" s="545"/>
      <c r="N19" s="581"/>
      <c r="O19" s="178"/>
      <c r="P19" s="179"/>
      <c r="Q19" s="103"/>
    </row>
    <row r="20" spans="1:17" ht="12.95" customHeight="1" x14ac:dyDescent="0.25">
      <c r="A20" s="547" t="s">
        <v>1402</v>
      </c>
      <c r="B20" s="548" t="s">
        <v>2843</v>
      </c>
      <c r="C20" s="532" t="s">
        <v>48</v>
      </c>
      <c r="D20" s="680">
        <f>IF(ISBLANK(Table6!E105),"",Table6!E105)</f>
        <v>522420.37199999997</v>
      </c>
      <c r="E20" s="680">
        <f>IF(ISBLANK(Table6!F105),"",Table6!F105)</f>
        <v>10889.184999999999</v>
      </c>
      <c r="F20" s="680">
        <f>IF(ISBLANK(Table6!G105),"",Table6!G105)</f>
        <v>-6935.5889999999999</v>
      </c>
      <c r="G20" s="685">
        <f>IF(ISBLANK(Table6!H105),"",Table6!H105)</f>
        <v>526373.96799999999</v>
      </c>
      <c r="H20" s="680">
        <f>IF(ISBLANK(Table6!I105),"",Table6!I105)</f>
        <v>10096.638999999999</v>
      </c>
      <c r="I20" s="680">
        <f>IF(ISBLANK(Table6!J105),"",Table6!J105)</f>
        <v>19942.712</v>
      </c>
      <c r="J20" s="680">
        <f>IF(ISBLANK(Table6!K105),"",Table6!K105)</f>
        <v>40221.273000000001</v>
      </c>
      <c r="K20" s="680">
        <f>IF(ISBLANK(Table6!L105),"",Table6!L105)</f>
        <v>-8910.7009999999991</v>
      </c>
      <c r="L20" s="686">
        <f>IF(ISBLANK(Table6!M105),"",Table6!M105)</f>
        <v>587723.89099999995</v>
      </c>
      <c r="M20" s="680">
        <f>IF(ISBLANK(Table6!N105),"",Table6!N105)</f>
        <v>536470.60699999996</v>
      </c>
      <c r="N20" s="581"/>
      <c r="O20" s="178">
        <f>IF(OR(G20="NA",D20="NA",E20="NA",F20="NA"),"NA",SUM(G20)-SUM(D20:F20))</f>
        <v>0</v>
      </c>
      <c r="P20" s="179">
        <f>IF(OR(L20="NA",G20="NA",H20="NA",I20="NA",J20="NA",K20="NA"),"NA",SUM(L20)-SUM(G20:K20))</f>
        <v>0</v>
      </c>
      <c r="Q20" s="103"/>
    </row>
    <row r="21" spans="1:17" ht="9.75" customHeight="1" x14ac:dyDescent="0.2">
      <c r="A21" s="549" t="s">
        <v>1118</v>
      </c>
      <c r="B21" s="550" t="s">
        <v>2844</v>
      </c>
      <c r="C21" s="532" t="s">
        <v>48</v>
      </c>
      <c r="D21" s="479">
        <f>IF(ISBLANK(Table3!E49),"",Table3!E49)</f>
        <v>73288.710000000006</v>
      </c>
      <c r="E21" s="479">
        <f>IF(ISBLANK(Table3!F49),"",Table3!F49)</f>
        <v>339.41199999999998</v>
      </c>
      <c r="F21" s="479">
        <f>IF(ISBLANK(Table3!G49),"",Table3!G49)</f>
        <v>-215.79</v>
      </c>
      <c r="G21" s="504">
        <f>IF(ISBLANK(Table3!H49),"",Table3!H49)</f>
        <v>73412.332000000009</v>
      </c>
      <c r="H21" s="479">
        <f>IF(ISBLANK(Table3!I49),"",Table3!I49)</f>
        <v>1181.3718879999999</v>
      </c>
      <c r="I21" s="479">
        <f>IF(ISBLANK(Table3!J49),"",Table3!J49)</f>
        <v>4782.9508100000003</v>
      </c>
      <c r="J21" s="479">
        <f>IF(ISBLANK(Table3!K49),"",Table3!K49)</f>
        <v>1267.5000239999999</v>
      </c>
      <c r="K21" s="479">
        <f>IF(ISBLANK(Table3!L49),"",Table3!L49)</f>
        <v>0</v>
      </c>
      <c r="L21" s="505">
        <f>IF(ISBLANK(Table3!M49),"",Table3!M49)</f>
        <v>80644.154721999992</v>
      </c>
      <c r="M21" s="479">
        <f>IF(ISBLANK(Table3!N49),"",Table3!N49)</f>
        <v>74593.703887999989</v>
      </c>
      <c r="N21" s="581"/>
      <c r="O21" s="178">
        <f>IF(OR(G21="NA",D21="NA",E21="NA",F21="NA"),"NA",SUM(G21)-SUM(D21:F21))</f>
        <v>0</v>
      </c>
      <c r="P21" s="179">
        <f>IF(OR(L21="NA",G21="NA",H21="NA",I21="NA",J21="NA",K21="NA"),"NA",SUM(L21)-SUM(G21:K21))</f>
        <v>0</v>
      </c>
      <c r="Q21" s="103"/>
    </row>
    <row r="22" spans="1:17" ht="9.75" customHeight="1" x14ac:dyDescent="0.2">
      <c r="A22" s="549" t="s">
        <v>1383</v>
      </c>
      <c r="B22" s="550" t="s">
        <v>2852</v>
      </c>
      <c r="C22" s="532" t="s">
        <v>48</v>
      </c>
      <c r="D22" s="479">
        <f>IF(ISBLANK(Table9!E25),"",Table9!E25)</f>
        <v>-4402.0775080000067</v>
      </c>
      <c r="E22" s="479">
        <f>IF(ISBLANK(Table9!F25),"",Table9!F25)</f>
        <v>-350.75179600000001</v>
      </c>
      <c r="F22" s="479">
        <f>IF(ISBLANK(Table9!G25),"",Table9!G25)</f>
        <v>0</v>
      </c>
      <c r="G22" s="479">
        <f>IF(ISBLANK(Table9!H25),"",Table9!H25)</f>
        <v>-4752.8293040000062</v>
      </c>
      <c r="H22" s="479">
        <f>IF(ISBLANK(Table9!I25),"",Table9!I25)</f>
        <v>-283.87622399999998</v>
      </c>
      <c r="I22" s="479">
        <f>IF(ISBLANK(Table9!J25),"",Table9!J25)</f>
        <v>-1607.442174</v>
      </c>
      <c r="J22" s="479">
        <f>IF(ISBLANK(Table9!K25),"",Table9!K25)</f>
        <v>-645.13236599999993</v>
      </c>
      <c r="K22" s="479">
        <f>IF(ISBLANK(Table9!L25),"",Table9!L25)</f>
        <v>0</v>
      </c>
      <c r="L22" s="479">
        <f>IF(ISBLANK(Table9!M25),"",Table9!M25)</f>
        <v>-7289.2800680000055</v>
      </c>
      <c r="M22" s="479">
        <f>IF(ISBLANK(Table9!N25),"",Table9!N25)</f>
        <v>-5036.7055280000059</v>
      </c>
      <c r="N22" s="581"/>
      <c r="O22" s="178">
        <f>IF(OR(G22="NA",D22="NA",E22="NA",F22="NA"),"NA",SUM(G22)-SUM(D22:F22))</f>
        <v>0</v>
      </c>
      <c r="P22" s="179">
        <f>IF(OR(L22="NA",G22="NA",H22="NA",I22="NA",J22="NA",K22="NA"),"NA",SUM(L22)-SUM(G22:K22))</f>
        <v>0</v>
      </c>
      <c r="Q22" s="103"/>
    </row>
    <row r="23" spans="1:17" ht="12.95" customHeight="1" x14ac:dyDescent="0.25">
      <c r="A23" s="547" t="s">
        <v>1403</v>
      </c>
      <c r="B23" s="548" t="s">
        <v>2846</v>
      </c>
      <c r="C23" s="532" t="s">
        <v>48</v>
      </c>
      <c r="D23" s="479">
        <f>IF(ISBLANK(Table6!E49),"",Table6!E49)</f>
        <v>590365.76706300001</v>
      </c>
      <c r="E23" s="479">
        <f>IF(ISBLANK(Table6!F49),"",Table6!F49)</f>
        <v>2144.6568910000001</v>
      </c>
      <c r="F23" s="479">
        <f>IF(ISBLANK(Table6!G49),"",Table6!G49)</f>
        <v>-1458.923713000002</v>
      </c>
      <c r="G23" s="504">
        <f>IF(ISBLANK(Table6!H49),"",Table6!H49)</f>
        <v>591051.50024099997</v>
      </c>
      <c r="H23" s="479">
        <f>IF(ISBLANK(Table6!I49),"",Table6!I49)</f>
        <v>8303.9416349999992</v>
      </c>
      <c r="I23" s="479">
        <f>IF(ISBLANK(Table6!J49),"",Table6!J49)</f>
        <v>20337.165942</v>
      </c>
      <c r="J23" s="479">
        <f>IF(ISBLANK(Table6!K49),"",Table6!K49)</f>
        <v>32590.091732000001</v>
      </c>
      <c r="K23" s="479">
        <f>IF(ISBLANK(Table6!L49),"",Table6!L49)</f>
        <v>-11046.685869999994</v>
      </c>
      <c r="L23" s="505">
        <f>IF(ISBLANK(Table6!M49),"",Table6!M49)</f>
        <v>641236.01367999997</v>
      </c>
      <c r="M23" s="479">
        <f>IF(ISBLANK(Table6!N49),"",Table6!N49)</f>
        <v>599355.44187600003</v>
      </c>
      <c r="N23" s="581"/>
      <c r="O23" s="178">
        <f>IF(OR(G23="NA",D23="NA",E23="NA",F23="NA"),"NA",SUM(G23)-SUM(D23:F23))</f>
        <v>0</v>
      </c>
      <c r="P23" s="179">
        <f>IF(OR(L23="NA",G23="NA",H23="NA",I23="NA",J23="NA",K23="NA"),"NA",SUM(L23)-SUM(G23:K23))</f>
        <v>0</v>
      </c>
      <c r="Q23" s="103"/>
    </row>
    <row r="24" spans="1:17" ht="12.95" customHeight="1" x14ac:dyDescent="0.2">
      <c r="A24" s="551" t="s">
        <v>279</v>
      </c>
      <c r="B24" s="584" t="s">
        <v>2853</v>
      </c>
      <c r="C24" s="532" t="s">
        <v>48</v>
      </c>
      <c r="D24" s="501">
        <f>IF(AND(D23="NP",D20="NP",D21="NP",D22="NP"),"NP",IF(OR(D23="NA",D20="NA",D21="NA",D22="NA"),"NA",IF(ISNUMBER(D23)*ISNUMBER(D20)*ISNUMBER(D21)*ISNUMBER(D22),SUM(D23)-SUM(D20)-SUM(D21)-SUM(D22),"")))</f>
        <v>-941.23742899996705</v>
      </c>
      <c r="E24" s="501">
        <f t="shared" ref="E24:M24" si="2">IF(AND(E23="NP",E20="NP",E21="NP",E22="NP"),"NP",IF(OR(E23="NA",E20="NA",E21="NA",E22="NA"),"NA",IF(ISNUMBER(E23)*ISNUMBER(E20)*ISNUMBER(E21)*ISNUMBER(E22),SUM(E23)-SUM(E20)-SUM(E21)-SUM(E22),"")))</f>
        <v>-8733.1883129999987</v>
      </c>
      <c r="F24" s="501">
        <f t="shared" si="2"/>
        <v>5692.455286999998</v>
      </c>
      <c r="G24" s="501">
        <f t="shared" si="2"/>
        <v>-3981.9704550000242</v>
      </c>
      <c r="H24" s="501">
        <f t="shared" si="2"/>
        <v>-2690.1930289999996</v>
      </c>
      <c r="I24" s="501">
        <f t="shared" si="2"/>
        <v>-2781.0546940000004</v>
      </c>
      <c r="J24" s="501">
        <f t="shared" si="2"/>
        <v>-8253.5489260000013</v>
      </c>
      <c r="K24" s="501">
        <f t="shared" si="2"/>
        <v>-2135.9848699999948</v>
      </c>
      <c r="L24" s="501">
        <f t="shared" si="2"/>
        <v>-19842.751973999955</v>
      </c>
      <c r="M24" s="501">
        <f t="shared" si="2"/>
        <v>-6672.1634839999169</v>
      </c>
      <c r="N24" s="581"/>
      <c r="O24" s="181">
        <f>IF(OR(G24="NA",D24="NA",E24="NA",F24="NA"),"NA",SUM(G24)-SUM(D24:F24))</f>
        <v>-5.5479176808148623E-11</v>
      </c>
      <c r="P24" s="182">
        <f>IF(OR(L24="NA",G24="NA",H24="NA",I24="NA",J24="NA",K24="NA"),"NA",SUM(L24)-SUM(G24:K24))</f>
        <v>6.5483618527650833E-11</v>
      </c>
      <c r="Q24" s="103"/>
    </row>
    <row r="25" spans="1:17" ht="12.95" customHeight="1" x14ac:dyDescent="0.2">
      <c r="A25" s="590" t="s">
        <v>990</v>
      </c>
      <c r="B25" s="585" t="s">
        <v>2768</v>
      </c>
      <c r="C25" s="586"/>
      <c r="D25" s="688"/>
      <c r="E25" s="689"/>
      <c r="F25" s="689"/>
      <c r="G25" s="689"/>
      <c r="H25" s="689"/>
      <c r="I25" s="689"/>
      <c r="J25" s="689"/>
      <c r="K25" s="689"/>
      <c r="L25" s="689"/>
      <c r="M25" s="690"/>
      <c r="N25" s="581"/>
      <c r="O25" s="237"/>
      <c r="P25" s="238"/>
      <c r="Q25" s="103"/>
    </row>
    <row r="26" spans="1:17" ht="12.95" customHeight="1" x14ac:dyDescent="0.2">
      <c r="A26" s="591" t="s">
        <v>990</v>
      </c>
      <c r="B26" s="548" t="s">
        <v>2854</v>
      </c>
      <c r="C26" s="532" t="s">
        <v>48</v>
      </c>
      <c r="D26" s="687"/>
      <c r="E26" s="544"/>
      <c r="F26" s="544"/>
      <c r="G26" s="544"/>
      <c r="H26" s="544"/>
      <c r="I26" s="544"/>
      <c r="J26" s="544"/>
      <c r="K26" s="544"/>
      <c r="L26" s="544"/>
      <c r="M26" s="545"/>
      <c r="N26" s="581"/>
      <c r="O26" s="178"/>
      <c r="P26" s="179"/>
      <c r="Q26" s="103"/>
    </row>
    <row r="27" spans="1:17" ht="12.95" customHeight="1" x14ac:dyDescent="0.25">
      <c r="A27" s="547" t="s">
        <v>1404</v>
      </c>
      <c r="B27" s="548" t="s">
        <v>2843</v>
      </c>
      <c r="C27" s="532" t="s">
        <v>48</v>
      </c>
      <c r="D27" s="680">
        <f>IF(OR(D14="NA",D20="NA"),"NA",IF(ISNUMBER(D14)*ISNUMBER(D20),SUM(D14)-SUM(D20),""))</f>
        <v>-327444.00799999997</v>
      </c>
      <c r="E27" s="680">
        <f t="shared" ref="E27:L27" si="3">IF(OR(E14="NA",E20="NA"),"NA",IF(ISNUMBER(E14)*ISNUMBER(E20),SUM(E14)-SUM(E20),""))</f>
        <v>13604.347</v>
      </c>
      <c r="F27" s="680">
        <f t="shared" si="3"/>
        <v>0</v>
      </c>
      <c r="G27" s="685">
        <f t="shared" si="3"/>
        <v>-313839.66099999996</v>
      </c>
      <c r="H27" s="680">
        <f t="shared" si="3"/>
        <v>6924.7250000000022</v>
      </c>
      <c r="I27" s="680">
        <f t="shared" si="3"/>
        <v>26247.777999999998</v>
      </c>
      <c r="J27" s="680">
        <f t="shared" si="3"/>
        <v>66391.755999999994</v>
      </c>
      <c r="K27" s="680">
        <f t="shared" si="3"/>
        <v>0</v>
      </c>
      <c r="L27" s="686">
        <f t="shared" si="3"/>
        <v>-214275.40199999994</v>
      </c>
      <c r="M27" s="680">
        <f t="shared" ref="M27" si="4">IF(OR(M14="NA",M20="NA"),"NA",IF(ISNUMBER(M14)*ISNUMBER(M20),SUM(M14)-SUM(M20),""))</f>
        <v>-306914.93599999999</v>
      </c>
      <c r="N27" s="581"/>
      <c r="O27" s="178">
        <f>IF(OR(G27="NA",D27="NA",E27="NA",F27="NA"),"NA",SUM(G27)-SUM(D27:F27))</f>
        <v>0</v>
      </c>
      <c r="P27" s="179">
        <f>IF(OR(L27="NA",G27="NA",H27="NA",I27="NA",J27="NA",K27="NA"),"NA",SUM(L27)-SUM(G27:K27))</f>
        <v>5.8207660913467407E-11</v>
      </c>
      <c r="Q27" s="103"/>
    </row>
    <row r="28" spans="1:17" ht="9.75" customHeight="1" x14ac:dyDescent="0.2">
      <c r="A28" s="549" t="s">
        <v>66</v>
      </c>
      <c r="B28" s="550" t="s">
        <v>2844</v>
      </c>
      <c r="C28" s="532" t="s">
        <v>48</v>
      </c>
      <c r="D28" s="479">
        <f>IF(ISBLANK(Table3!E95),"",Table3!E95)</f>
        <v>-33142.145543926003</v>
      </c>
      <c r="E28" s="479">
        <f>IF(ISBLANK(Table3!F95),"",Table3!F95)</f>
        <v>-49.14084900000006</v>
      </c>
      <c r="F28" s="479">
        <f>IF(ISBLANK(Table3!G95),"",Table3!G95)</f>
        <v>-1697.5920000000001</v>
      </c>
      <c r="G28" s="504">
        <f>IF(ISBLANK(Table3!H95),"",Table3!H95)</f>
        <v>-34888.87839292601</v>
      </c>
      <c r="H28" s="479">
        <f>IF(ISBLANK(Table3!I95),"",Table3!I95)</f>
        <v>-1023.0225109999999</v>
      </c>
      <c r="I28" s="479">
        <f>IF(ISBLANK(Table3!J95),"",Table3!J95)</f>
        <v>-1017.5858508280003</v>
      </c>
      <c r="J28" s="479">
        <f>IF(ISBLANK(Table3!K95),"",Table3!K95)</f>
        <v>8983.5600240200001</v>
      </c>
      <c r="K28" s="479">
        <f>IF(ISBLANK(Table3!L95),"",Table3!L95)</f>
        <v>-844.96100000000001</v>
      </c>
      <c r="L28" s="505">
        <f>IF(ISBLANK(Table3!M95),"",Table3!M95)</f>
        <v>-28790.887730733994</v>
      </c>
      <c r="M28" s="479">
        <f>IF(ISBLANK(Table3!N95),"",Table3!N95)</f>
        <v>-35911.900903925991</v>
      </c>
      <c r="N28" s="581"/>
      <c r="O28" s="178">
        <f>IF(OR(G28="NA",D28="NA",E28="NA",F28="NA"),"NA",SUM(G28)-SUM(D28:F28))</f>
        <v>-7.2759576141834259E-12</v>
      </c>
      <c r="P28" s="179">
        <f>IF(OR(L28="NA",G28="NA",H28="NA",I28="NA",J28="NA",K28="NA"),"NA",SUM(L28)-SUM(G28:K28))</f>
        <v>1.8189894035458565E-11</v>
      </c>
      <c r="Q28" s="103"/>
    </row>
    <row r="29" spans="1:17" ht="9.75" customHeight="1" x14ac:dyDescent="0.2">
      <c r="A29" s="549" t="s">
        <v>35</v>
      </c>
      <c r="B29" s="550" t="s">
        <v>2855</v>
      </c>
      <c r="C29" s="532" t="s">
        <v>48</v>
      </c>
      <c r="D29" s="479">
        <f>IF(ISBLANK(Table9!E37),"",Table9!E37)</f>
        <v>-11878.049084999995</v>
      </c>
      <c r="E29" s="479">
        <f>IF(ISBLANK(Table9!F37),"",Table9!F37)</f>
        <v>65.325568000000032</v>
      </c>
      <c r="F29" s="479">
        <f>IF(ISBLANK(Table9!G37),"",Table9!G37)</f>
        <v>0</v>
      </c>
      <c r="G29" s="479">
        <f>IF(ISBLANK(Table9!H37),"",Table9!H37)</f>
        <v>-11812.723516999995</v>
      </c>
      <c r="H29" s="479">
        <f>IF(ISBLANK(Table9!I37),"",Table9!I37)</f>
        <v>965.11191000000008</v>
      </c>
      <c r="I29" s="479">
        <f>IF(ISBLANK(Table9!J37),"",Table9!J37)</f>
        <v>2133.919226</v>
      </c>
      <c r="J29" s="479">
        <f>IF(ISBLANK(Table9!K37),"",Table9!K37)</f>
        <v>-2607.0261069999997</v>
      </c>
      <c r="K29" s="479">
        <f>IF(ISBLANK(Table9!L37),"",Table9!L37)</f>
        <v>0</v>
      </c>
      <c r="L29" s="479">
        <f>IF(ISBLANK(Table9!M37),"",Table9!M37)</f>
        <v>-11320.718487999995</v>
      </c>
      <c r="M29" s="479">
        <f>IF(ISBLANK(Table9!N37),"",Table9!N37)</f>
        <v>-10847.611606999995</v>
      </c>
      <c r="N29" s="581"/>
      <c r="O29" s="178">
        <f>IF(OR(G29="NA",D29="NA",E29="NA",F29="NA"),"NA",SUM(G29)-SUM(D29:F29))</f>
        <v>0</v>
      </c>
      <c r="P29" s="179">
        <f>IF(OR(L29="NA",G29="NA",H29="NA",I29="NA",J29="NA",K29="NA"),"NA",SUM(L29)-SUM(G29:K29))</f>
        <v>0</v>
      </c>
      <c r="Q29" s="103"/>
    </row>
    <row r="30" spans="1:17" ht="12.95" customHeight="1" x14ac:dyDescent="0.25">
      <c r="A30" s="547" t="s">
        <v>1405</v>
      </c>
      <c r="B30" s="548" t="s">
        <v>2846</v>
      </c>
      <c r="C30" s="532" t="s">
        <v>48</v>
      </c>
      <c r="D30" s="479">
        <f>IF(ISBLANK(Table6!E81),"",Table6!E81)</f>
        <v>-372050.176604988</v>
      </c>
      <c r="E30" s="479">
        <f>IF(ISBLANK(Table6!F81),"",Table6!F81)</f>
        <v>4378.4321679999994</v>
      </c>
      <c r="F30" s="479">
        <f>IF(ISBLANK(Table6!G81),"",Table6!G81)</f>
        <v>75.875814448023448</v>
      </c>
      <c r="G30" s="504">
        <f>IF(ISBLANK(Table6!H81),"",Table6!H81)</f>
        <v>-367595.86862253997</v>
      </c>
      <c r="H30" s="479">
        <f>IF(ISBLANK(Table6!I81),"",Table6!I81)</f>
        <v>10510.092696</v>
      </c>
      <c r="I30" s="479">
        <f>IF(ISBLANK(Table6!J81),"",Table6!J81)</f>
        <v>26531.184607365001</v>
      </c>
      <c r="J30" s="479">
        <f>IF(ISBLANK(Table6!K81),"",Table6!K81)</f>
        <v>53547.943488019999</v>
      </c>
      <c r="K30" s="479">
        <f>IF(ISBLANK(Table6!L81),"",Table6!L81)</f>
        <v>115.11293325599399</v>
      </c>
      <c r="L30" s="505">
        <f>IF(ISBLANK(Table6!M81),"",Table6!M81)</f>
        <v>-276891.53489789896</v>
      </c>
      <c r="M30" s="479">
        <f>IF(ISBLANK(Table6!N81),"",Table6!N81)</f>
        <v>-357085.77592654002</v>
      </c>
      <c r="N30" s="581"/>
      <c r="O30" s="178">
        <f>IF(OR(G30="NA",D30="NA",E30="NA",F30="NA"),"NA",SUM(G30)-SUM(D30:F30))</f>
        <v>5.8207660913467407E-11</v>
      </c>
      <c r="P30" s="179">
        <f>IF(OR(L30="NA",G30="NA",H30="NA",I30="NA",J30="NA",K30="NA"),"NA",SUM(L30)-SUM(G30:K30))</f>
        <v>5.8207660913467407E-11</v>
      </c>
      <c r="Q30" s="103"/>
    </row>
    <row r="31" spans="1:17" ht="12.95" customHeight="1" x14ac:dyDescent="0.2">
      <c r="A31" s="551" t="s">
        <v>280</v>
      </c>
      <c r="B31" s="584" t="s">
        <v>2856</v>
      </c>
      <c r="C31" s="532" t="s">
        <v>48</v>
      </c>
      <c r="D31" s="501">
        <f>IF(AND(D30="NP",D27="NP",D28="NP",D29="NP"),"NP",IF(OR(D30="NA",D27="NA",D28="NA",D29="NA"),"NA",IF(ISNUMBER(D30)*ISNUMBER(D27)*ISNUMBER(D28)*ISNUMBER(D29),SUM(D30)-SUM(D27)-SUM(D28)-SUM(D29),"")))</f>
        <v>414.02602393797497</v>
      </c>
      <c r="E31" s="501">
        <f t="shared" ref="E31:M31" si="5">IF(AND(E30="NP",E27="NP",E28="NP",E29="NP"),"NP",IF(OR(E30="NA",E27="NA",E28="NA",E29="NA"),"NA",IF(ISNUMBER(E30)*ISNUMBER(E27)*ISNUMBER(E28)*ISNUMBER(E29),SUM(E30)-SUM(E27)-SUM(E28)-SUM(E29),"")))</f>
        <v>-9242.0995510000012</v>
      </c>
      <c r="F31" s="501">
        <f t="shared" si="5"/>
        <v>1773.4678144480235</v>
      </c>
      <c r="G31" s="501">
        <f t="shared" si="5"/>
        <v>-7054.605712614004</v>
      </c>
      <c r="H31" s="501">
        <f t="shared" si="5"/>
        <v>3643.2782969999976</v>
      </c>
      <c r="I31" s="501">
        <f t="shared" si="5"/>
        <v>-832.92676780699685</v>
      </c>
      <c r="J31" s="501">
        <f t="shared" si="5"/>
        <v>-19220.346428999997</v>
      </c>
      <c r="K31" s="501">
        <f t="shared" si="5"/>
        <v>960.07393325599401</v>
      </c>
      <c r="L31" s="501">
        <f t="shared" si="5"/>
        <v>-22504.526679165032</v>
      </c>
      <c r="M31" s="501">
        <f t="shared" si="5"/>
        <v>-3411.3274156140506</v>
      </c>
      <c r="N31" s="581"/>
      <c r="O31" s="181">
        <f>IF(OR(G31="NA",D31="NA",E31="NA",F31="NA"),"NA",SUM(G31)-SUM(D31:F31))</f>
        <v>-1.8189894035458565E-12</v>
      </c>
      <c r="P31" s="182">
        <f>IF(OR(L31="NA",G31="NA",H31="NA",I31="NA",J31="NA",K31="NA"),"NA",SUM(L31)-SUM(G31:K31))</f>
        <v>-2.5465851649641991E-11</v>
      </c>
      <c r="Q31" s="103"/>
    </row>
    <row r="32" spans="1:17" ht="12.95" hidden="1" customHeight="1" x14ac:dyDescent="0.2">
      <c r="A32" s="587" t="s">
        <v>990</v>
      </c>
      <c r="B32" s="548" t="s">
        <v>2635</v>
      </c>
      <c r="C32" s="532" t="s">
        <v>48</v>
      </c>
      <c r="D32" s="174"/>
      <c r="E32" s="174"/>
      <c r="F32" s="174"/>
      <c r="G32" s="175"/>
      <c r="H32" s="174"/>
      <c r="I32" s="174"/>
      <c r="J32" s="174"/>
      <c r="K32" s="174"/>
      <c r="L32" s="176"/>
      <c r="M32" s="174"/>
      <c r="N32" s="581"/>
      <c r="O32" s="178"/>
      <c r="P32" s="179"/>
      <c r="Q32" s="103"/>
    </row>
    <row r="33" spans="1:17" ht="12.95" hidden="1" customHeight="1" x14ac:dyDescent="0.25">
      <c r="A33" s="547" t="s">
        <v>1406</v>
      </c>
      <c r="B33" s="548" t="s">
        <v>2632</v>
      </c>
      <c r="C33" s="532" t="s">
        <v>48</v>
      </c>
      <c r="D33" s="447" t="str">
        <f>IF(ISBLANK(Table6!E106),"",Table6!E106)</f>
        <v/>
      </c>
      <c r="E33" s="447" t="str">
        <f>IF(ISBLANK(Table6!F106),"",Table6!F106)</f>
        <v/>
      </c>
      <c r="F33" s="447" t="str">
        <f>IF(ISBLANK(Table6!G106),"",Table6!G106)</f>
        <v/>
      </c>
      <c r="G33" s="448" t="str">
        <f>IF(ISBLANK(Table6!H106),"",Table6!H106)</f>
        <v/>
      </c>
      <c r="H33" s="447" t="str">
        <f>IF(ISBLANK(Table6!I106),"",Table6!I106)</f>
        <v/>
      </c>
      <c r="I33" s="447" t="str">
        <f>IF(ISBLANK(Table6!J106),"",Table6!J106)</f>
        <v/>
      </c>
      <c r="J33" s="447" t="str">
        <f>IF(ISBLANK(Table6!K106),"",Table6!K106)</f>
        <v/>
      </c>
      <c r="K33" s="447" t="str">
        <f>IF(ISBLANK(Table6!L106),"",Table6!L106)</f>
        <v/>
      </c>
      <c r="L33" s="449" t="str">
        <f>IF(ISBLANK(Table6!M106),"",Table6!M106)</f>
        <v/>
      </c>
      <c r="M33" s="447" t="str">
        <f>IF(ISBLANK(Table6!N106),"",Table6!N106)</f>
        <v/>
      </c>
      <c r="N33" s="581"/>
      <c r="O33" s="178">
        <f>IF(OR(G33="NA",D33="NA",E33="NA",F33="NA"),"NA",SUM(G33)-SUM(D33:F33))</f>
        <v>0</v>
      </c>
      <c r="P33" s="179">
        <f>IF(OR(L33="NA",G33="NA",H33="NA",I33="NA",J33="NA",K33="NA"),"NA",SUM(L33)-SUM(G33:K33))</f>
        <v>0</v>
      </c>
      <c r="Q33" s="103"/>
    </row>
    <row r="34" spans="1:17" ht="9.75" hidden="1" customHeight="1" x14ac:dyDescent="0.2">
      <c r="A34" s="549" t="s">
        <v>660</v>
      </c>
      <c r="B34" s="550" t="s">
        <v>276</v>
      </c>
      <c r="C34" s="532" t="s">
        <v>48</v>
      </c>
      <c r="D34" s="447">
        <f>IF(ISBLANK(Table3!E99),"",Table3!E99)</f>
        <v>38695.198000000004</v>
      </c>
      <c r="E34" s="447">
        <f>IF(ISBLANK(Table3!F99),"",Table3!F99)</f>
        <v>-2.4119999999999999</v>
      </c>
      <c r="F34" s="447">
        <f>IF(ISBLANK(Table3!G99),"",Table3!G99)</f>
        <v>-9.8800000000000008</v>
      </c>
      <c r="G34" s="448">
        <f>IF(ISBLANK(Table3!H99),"",Table3!H99)</f>
        <v>38682.906000000003</v>
      </c>
      <c r="H34" s="447">
        <f>IF(ISBLANK(Table3!I99),"",Table3!I99)</f>
        <v>1.2575940000000001</v>
      </c>
      <c r="I34" s="447">
        <f>IF(ISBLANK(Table3!J99),"",Table3!J99)</f>
        <v>-214.989575</v>
      </c>
      <c r="J34" s="447">
        <f>IF(ISBLANK(Table3!K99),"",Table3!K99)</f>
        <v>-134.47063</v>
      </c>
      <c r="K34" s="447">
        <f>IF(ISBLANK(Table3!L99),"",Table3!L99)</f>
        <v>0</v>
      </c>
      <c r="L34" s="449">
        <f>IF(ISBLANK(Table3!M99),"",Table3!M99)</f>
        <v>38334.703389000002</v>
      </c>
      <c r="M34" s="447">
        <f>IF(ISBLANK(Table3!N99),"",Table3!N99)</f>
        <v>38684.163593999998</v>
      </c>
      <c r="N34" s="581"/>
      <c r="O34" s="178">
        <f>IF(OR(G34="NA",D34="NA",E34="NA",F34="NA"),"NA",SUM(G34)-SUM(D34:F34))</f>
        <v>-7.2759576141834259E-12</v>
      </c>
      <c r="P34" s="179">
        <f>IF(OR(L34="NA",G34="NA",H34="NA",I34="NA",J34="NA",K34="NA"),"NA",SUM(L34)-SUM(G34:K34))</f>
        <v>0</v>
      </c>
      <c r="Q34" s="103"/>
    </row>
    <row r="35" spans="1:17" ht="9.75" hidden="1" customHeight="1" x14ac:dyDescent="0.2">
      <c r="A35" s="549" t="s">
        <v>669</v>
      </c>
      <c r="B35" s="550" t="s">
        <v>2633</v>
      </c>
      <c r="C35" s="532" t="s">
        <v>48</v>
      </c>
      <c r="D35" s="447"/>
      <c r="E35" s="447"/>
      <c r="F35" s="447"/>
      <c r="G35" s="448"/>
      <c r="H35" s="447"/>
      <c r="I35" s="447"/>
      <c r="J35" s="447"/>
      <c r="K35" s="447"/>
      <c r="L35" s="449"/>
      <c r="M35" s="447"/>
      <c r="N35" s="581"/>
      <c r="O35" s="178">
        <f>IF(OR(G35="NA",D35="NA",E35="NA",F35="NA"),"NA",SUM(G35)-SUM(D35:F35))</f>
        <v>0</v>
      </c>
      <c r="P35" s="179">
        <f>IF(OR(L35="NA",G35="NA",H35="NA",I35="NA",J35="NA",K35="NA"),"NA",SUM(L35)-SUM(G35:K35))</f>
        <v>0</v>
      </c>
      <c r="Q35" s="103"/>
    </row>
    <row r="36" spans="1:17" ht="12.95" hidden="1" customHeight="1" x14ac:dyDescent="0.25">
      <c r="A36" s="547" t="s">
        <v>1407</v>
      </c>
      <c r="B36" s="548" t="s">
        <v>2634</v>
      </c>
      <c r="C36" s="532" t="s">
        <v>48</v>
      </c>
      <c r="D36" s="447" t="str">
        <f>IF(ISBLANK(Table6!E86),"",Table6!E86)</f>
        <v/>
      </c>
      <c r="E36" s="447" t="str">
        <f>IF(ISBLANK(Table6!F86),"",Table6!F86)</f>
        <v/>
      </c>
      <c r="F36" s="447" t="str">
        <f>IF(ISBLANK(Table6!G86),"",Table6!G86)</f>
        <v/>
      </c>
      <c r="G36" s="448" t="str">
        <f>IF(ISBLANK(Table6!H86),"",Table6!H86)</f>
        <v/>
      </c>
      <c r="H36" s="447" t="str">
        <f>IF(ISBLANK(Table6!I86),"",Table6!I86)</f>
        <v/>
      </c>
      <c r="I36" s="447" t="str">
        <f>IF(ISBLANK(Table6!J86),"",Table6!J86)</f>
        <v/>
      </c>
      <c r="J36" s="447" t="str">
        <f>IF(ISBLANK(Table6!K86),"",Table6!K86)</f>
        <v/>
      </c>
      <c r="K36" s="447" t="str">
        <f>IF(ISBLANK(Table6!L86),"",Table6!L86)</f>
        <v/>
      </c>
      <c r="L36" s="449" t="str">
        <f>IF(ISBLANK(Table6!M86),"",Table6!M86)</f>
        <v/>
      </c>
      <c r="M36" s="447" t="str">
        <f>IF(ISBLANK(Table6!N86),"",Table6!N86)</f>
        <v/>
      </c>
      <c r="N36" s="581"/>
      <c r="O36" s="178">
        <f>IF(OR(G36="NA",D36="NA",E36="NA",F36="NA"),"NA",SUM(G36)-SUM(D36:F36))</f>
        <v>0</v>
      </c>
      <c r="P36" s="179">
        <f>IF(OR(L36="NA",G36="NA",H36="NA",I36="NA",J36="NA",K36="NA"),"NA",SUM(L36)-SUM(G36:K36))</f>
        <v>0</v>
      </c>
      <c r="Q36" s="103"/>
    </row>
    <row r="37" spans="1:17" ht="12.95" hidden="1" customHeight="1" x14ac:dyDescent="0.2">
      <c r="A37" s="536" t="s">
        <v>1394</v>
      </c>
      <c r="B37" s="588" t="s">
        <v>2636</v>
      </c>
      <c r="C37" s="537" t="s">
        <v>48</v>
      </c>
      <c r="D37" s="450" t="str">
        <f>IF(AND(D36="NP",D33="NP",D34="NP",D35="NP"),"NP",IF(OR(D36="NA",D33="NA",D34="NA",D35="NA"),"NA",IF(ISNUMBER(D36)*ISNUMBER(D33)*ISNUMBER(D34)*ISNUMBER(D35),SUM(D36)-SUM(D33)-SUM(D34)-SUM(D35),"")))</f>
        <v/>
      </c>
      <c r="E37" s="450" t="str">
        <f t="shared" ref="E37:M37" si="6">IF(AND(E36="NP",E33="NP",E34="NP",E35="NP"),"NP",IF(OR(E36="NA",E33="NA",E34="NA",E35="NA"),"NA",IF(ISNUMBER(E36)*ISNUMBER(E33)*ISNUMBER(E34)*ISNUMBER(E35),SUM(E36)-SUM(E33)-SUM(E34)-SUM(E35),"")))</f>
        <v/>
      </c>
      <c r="F37" s="450" t="str">
        <f t="shared" si="6"/>
        <v/>
      </c>
      <c r="G37" s="450" t="str">
        <f t="shared" si="6"/>
        <v/>
      </c>
      <c r="H37" s="450" t="str">
        <f t="shared" si="6"/>
        <v/>
      </c>
      <c r="I37" s="450" t="str">
        <f t="shared" si="6"/>
        <v/>
      </c>
      <c r="J37" s="450" t="str">
        <f t="shared" si="6"/>
        <v/>
      </c>
      <c r="K37" s="450" t="str">
        <f t="shared" si="6"/>
        <v/>
      </c>
      <c r="L37" s="450" t="str">
        <f t="shared" si="6"/>
        <v/>
      </c>
      <c r="M37" s="450" t="str">
        <f t="shared" si="6"/>
        <v/>
      </c>
      <c r="N37" s="581"/>
      <c r="O37" s="188">
        <f>IF(OR(G37="NA",D37="NA",E37="NA",F37="NA"),"NA",SUM(G37)-SUM(D37:F37))</f>
        <v>0</v>
      </c>
      <c r="P37" s="189">
        <f>IF(OR(L37="NA",G37="NA",H37="NA",I37="NA",J37="NA",K37="NA"),"NA",SUM(L37)-SUM(G37:K37))</f>
        <v>0</v>
      </c>
      <c r="Q37" s="103"/>
    </row>
    <row r="38" spans="1:17" ht="10.5" customHeight="1" x14ac:dyDescent="0.2">
      <c r="A38" s="580"/>
      <c r="B38" s="531"/>
      <c r="C38" s="531"/>
      <c r="D38" s="581"/>
      <c r="E38" s="581"/>
      <c r="F38" s="581"/>
      <c r="G38" s="581"/>
      <c r="H38" s="581"/>
      <c r="I38" s="581"/>
      <c r="J38" s="581"/>
      <c r="K38" s="581"/>
      <c r="L38" s="581"/>
      <c r="M38" s="581"/>
      <c r="N38" s="581"/>
      <c r="O38" s="191"/>
      <c r="P38" s="191"/>
      <c r="Q38" s="103"/>
    </row>
    <row r="39" spans="1:17" s="193" customFormat="1" ht="15" customHeight="1" x14ac:dyDescent="0.2">
      <c r="A39" s="696" t="s">
        <v>2859</v>
      </c>
      <c r="B39" s="195"/>
      <c r="C39" s="195"/>
      <c r="D39" s="239"/>
      <c r="E39" s="239"/>
      <c r="F39" s="239"/>
      <c r="G39" s="239"/>
      <c r="H39" s="239"/>
      <c r="I39" s="239"/>
      <c r="J39" s="239"/>
      <c r="K39" s="239"/>
      <c r="L39" s="239"/>
      <c r="M39" s="240"/>
      <c r="N39" s="198"/>
      <c r="O39" s="198"/>
      <c r="P39" s="198"/>
      <c r="Q39" s="241"/>
    </row>
    <row r="40" spans="1:17" ht="10.5" customHeight="1" x14ac:dyDescent="0.2">
      <c r="A40" s="200" t="s">
        <v>2776</v>
      </c>
      <c r="B40" s="103"/>
      <c r="C40" s="103" t="s">
        <v>48</v>
      </c>
      <c r="D40" s="242"/>
      <c r="E40" s="242"/>
      <c r="F40" s="242"/>
      <c r="G40" s="242"/>
      <c r="H40" s="242"/>
      <c r="I40" s="242"/>
      <c r="J40" s="242"/>
      <c r="K40" s="242"/>
      <c r="L40" s="242"/>
      <c r="M40" s="242"/>
      <c r="N40" s="191"/>
      <c r="O40" s="191"/>
      <c r="P40" s="191"/>
      <c r="Q40" s="103"/>
    </row>
    <row r="41" spans="1:17" ht="10.5" customHeight="1" x14ac:dyDescent="0.2">
      <c r="A41" s="190"/>
      <c r="B41" s="207" t="s">
        <v>2637</v>
      </c>
      <c r="C41" s="103" t="s">
        <v>48</v>
      </c>
      <c r="D41" s="243">
        <f t="shared" ref="D41:M41" si="7">IF(OR(D11="NA",D8="NA",D9="NA",D10="NA",D12="NA"),"NA",SUM(D11)-SUM(D8)-SUM(D9)-SUM(D10)-SUM(D12))</f>
        <v>0</v>
      </c>
      <c r="E41" s="243">
        <f t="shared" si="7"/>
        <v>0</v>
      </c>
      <c r="F41" s="243">
        <f t="shared" si="7"/>
        <v>0</v>
      </c>
      <c r="G41" s="243">
        <f t="shared" si="7"/>
        <v>0</v>
      </c>
      <c r="H41" s="243">
        <f t="shared" si="7"/>
        <v>0</v>
      </c>
      <c r="I41" s="243">
        <f t="shared" si="7"/>
        <v>0</v>
      </c>
      <c r="J41" s="243">
        <f t="shared" si="7"/>
        <v>0</v>
      </c>
      <c r="K41" s="243">
        <f t="shared" si="7"/>
        <v>0</v>
      </c>
      <c r="L41" s="243">
        <f t="shared" si="7"/>
        <v>0</v>
      </c>
      <c r="M41" s="243">
        <f t="shared" si="7"/>
        <v>0</v>
      </c>
      <c r="N41" s="191"/>
      <c r="O41" s="191"/>
      <c r="P41" s="191"/>
      <c r="Q41" s="103"/>
    </row>
    <row r="42" spans="1:17" ht="10.5" customHeight="1" x14ac:dyDescent="0.2">
      <c r="A42" s="190"/>
      <c r="B42" s="207" t="s">
        <v>2638</v>
      </c>
      <c r="C42" s="103" t="s">
        <v>48</v>
      </c>
      <c r="D42" s="243">
        <f t="shared" ref="D42:M42" si="8">IF(OR(D17="NA",D14="NA",D15="NA",D16="NA",D18="NA"),"NA",SUM(D17)-SUM(D14)-SUM(D15)-SUM(D16)-SUM(D18))</f>
        <v>0</v>
      </c>
      <c r="E42" s="243">
        <f t="shared" si="8"/>
        <v>0</v>
      </c>
      <c r="F42" s="243">
        <f t="shared" si="8"/>
        <v>0</v>
      </c>
      <c r="G42" s="243">
        <f t="shared" si="8"/>
        <v>0</v>
      </c>
      <c r="H42" s="243">
        <f t="shared" si="8"/>
        <v>0</v>
      </c>
      <c r="I42" s="243">
        <f t="shared" si="8"/>
        <v>0</v>
      </c>
      <c r="J42" s="243">
        <f t="shared" si="8"/>
        <v>0</v>
      </c>
      <c r="K42" s="243">
        <f t="shared" si="8"/>
        <v>0</v>
      </c>
      <c r="L42" s="243">
        <f t="shared" si="8"/>
        <v>0</v>
      </c>
      <c r="M42" s="243">
        <f t="shared" si="8"/>
        <v>0</v>
      </c>
      <c r="N42" s="191"/>
      <c r="O42" s="191"/>
      <c r="P42" s="191"/>
      <c r="Q42" s="103"/>
    </row>
    <row r="43" spans="1:17" ht="10.5" customHeight="1" x14ac:dyDescent="0.2">
      <c r="A43" s="190"/>
      <c r="B43" s="207" t="s">
        <v>2639</v>
      </c>
      <c r="C43" s="103" t="s">
        <v>48</v>
      </c>
      <c r="D43" s="243">
        <f t="shared" ref="D43:M43" si="9">IF(OR(D23="NA",D20="NA",D21="NA",D22="NA",D24="NA"),"NA",SUM(D23)-SUM(D20)-SUM(D21)-SUM(D22)-SUM(D24))</f>
        <v>0</v>
      </c>
      <c r="E43" s="243">
        <f t="shared" si="9"/>
        <v>0</v>
      </c>
      <c r="F43" s="243">
        <f t="shared" si="9"/>
        <v>0</v>
      </c>
      <c r="G43" s="243">
        <f t="shared" si="9"/>
        <v>0</v>
      </c>
      <c r="H43" s="243">
        <f t="shared" si="9"/>
        <v>0</v>
      </c>
      <c r="I43" s="243">
        <f t="shared" si="9"/>
        <v>0</v>
      </c>
      <c r="J43" s="243">
        <f t="shared" si="9"/>
        <v>0</v>
      </c>
      <c r="K43" s="243">
        <f t="shared" si="9"/>
        <v>0</v>
      </c>
      <c r="L43" s="243">
        <f t="shared" si="9"/>
        <v>0</v>
      </c>
      <c r="M43" s="243">
        <f t="shared" si="9"/>
        <v>0</v>
      </c>
      <c r="N43" s="191"/>
      <c r="O43" s="191"/>
      <c r="P43" s="191"/>
      <c r="Q43" s="103"/>
    </row>
    <row r="44" spans="1:17" ht="10.5" customHeight="1" x14ac:dyDescent="0.2">
      <c r="A44" s="190"/>
      <c r="B44" s="207" t="s">
        <v>2640</v>
      </c>
      <c r="C44" s="103" t="s">
        <v>48</v>
      </c>
      <c r="D44" s="243">
        <f t="shared" ref="D44:M44" si="10">IF(OR(D30="NA",D27="NA",D28="NA",D29="NA",D31="NA"),"NA",SUM(D30)-SUM(D27)-SUM(D28)-SUM(D29)-SUM(D31))</f>
        <v>0</v>
      </c>
      <c r="E44" s="243">
        <f t="shared" si="10"/>
        <v>0</v>
      </c>
      <c r="F44" s="243">
        <f t="shared" si="10"/>
        <v>0</v>
      </c>
      <c r="G44" s="243">
        <f t="shared" si="10"/>
        <v>0</v>
      </c>
      <c r="H44" s="243">
        <f t="shared" si="10"/>
        <v>0</v>
      </c>
      <c r="I44" s="243">
        <f t="shared" si="10"/>
        <v>0</v>
      </c>
      <c r="J44" s="243">
        <f t="shared" si="10"/>
        <v>0</v>
      </c>
      <c r="K44" s="243">
        <f t="shared" si="10"/>
        <v>0</v>
      </c>
      <c r="L44" s="243">
        <f t="shared" si="10"/>
        <v>0</v>
      </c>
      <c r="M44" s="243">
        <f t="shared" si="10"/>
        <v>0</v>
      </c>
      <c r="N44" s="191"/>
      <c r="O44" s="191"/>
      <c r="P44" s="191"/>
      <c r="Q44" s="103"/>
    </row>
    <row r="45" spans="1:17" ht="10.5" customHeight="1" x14ac:dyDescent="0.2">
      <c r="A45" s="204"/>
      <c r="B45" s="208" t="s">
        <v>2641</v>
      </c>
      <c r="C45" s="140" t="s">
        <v>48</v>
      </c>
      <c r="D45" s="244">
        <f t="shared" ref="D45:M45" si="11">IF(OR(D36="NA",D33="NA",D34="NA",D35="NA",D37="NA"),"NA",SUM(D36)-SUM(D33)-SUM(D34)-SUM(D35)-SUM(D37))</f>
        <v>-38695.198000000004</v>
      </c>
      <c r="E45" s="244">
        <f t="shared" si="11"/>
        <v>2.4119999999999999</v>
      </c>
      <c r="F45" s="244">
        <f t="shared" si="11"/>
        <v>9.8800000000000008</v>
      </c>
      <c r="G45" s="244">
        <f t="shared" si="11"/>
        <v>-38682.906000000003</v>
      </c>
      <c r="H45" s="244">
        <f t="shared" si="11"/>
        <v>-1.2575940000000001</v>
      </c>
      <c r="I45" s="244">
        <f t="shared" si="11"/>
        <v>214.989575</v>
      </c>
      <c r="J45" s="244">
        <f t="shared" si="11"/>
        <v>134.47063</v>
      </c>
      <c r="K45" s="244">
        <f t="shared" si="11"/>
        <v>0</v>
      </c>
      <c r="L45" s="244">
        <f t="shared" si="11"/>
        <v>-38334.703389000002</v>
      </c>
      <c r="M45" s="244">
        <f t="shared" si="11"/>
        <v>-38684.163593999998</v>
      </c>
      <c r="N45" s="191"/>
      <c r="O45" s="191"/>
      <c r="P45" s="191"/>
      <c r="Q45" s="103"/>
    </row>
    <row r="46" spans="1:17" ht="10.5" hidden="1" customHeight="1" x14ac:dyDescent="0.2">
      <c r="A46" s="200" t="s">
        <v>981</v>
      </c>
      <c r="B46" s="103"/>
      <c r="C46" s="103"/>
      <c r="D46" s="243"/>
      <c r="E46" s="243"/>
      <c r="F46" s="243"/>
      <c r="G46" s="243"/>
      <c r="H46" s="243"/>
      <c r="I46" s="243"/>
      <c r="J46" s="243"/>
      <c r="K46" s="243"/>
      <c r="L46" s="243"/>
      <c r="M46" s="243"/>
      <c r="N46" s="191"/>
      <c r="O46" s="191"/>
      <c r="P46" s="191"/>
      <c r="Q46" s="103"/>
    </row>
    <row r="47" spans="1:17" ht="10.5" hidden="1" customHeight="1" x14ac:dyDescent="0.2">
      <c r="A47" s="190"/>
      <c r="B47" s="103" t="s">
        <v>719</v>
      </c>
      <c r="C47" s="103"/>
      <c r="D47" s="243">
        <f>IF(OR(D9="NA",Table3!E9="NA"),"NA",-SUM(D9)+SUM(Table3!E9))</f>
        <v>0</v>
      </c>
      <c r="E47" s="243">
        <f>IF(OR(E9="NA",Table3!F9="NA"),"NA",-SUM(E9)+SUM(Table3!F9))</f>
        <v>0</v>
      </c>
      <c r="F47" s="243">
        <f>IF(OR(F9="NA",Table3!G9="NA"),"NA",-SUM(F9)+SUM(Table3!G9))</f>
        <v>0</v>
      </c>
      <c r="G47" s="243">
        <f>IF(OR(G9="NA",Table3!H9="NA"),"NA",-SUM(G9)+SUM(Table3!H9))</f>
        <v>0</v>
      </c>
      <c r="H47" s="243">
        <f>IF(OR(H9="NA",Table3!I9="NA"),"NA",-SUM(H9)+SUM(Table3!I9))</f>
        <v>0</v>
      </c>
      <c r="I47" s="243">
        <f>IF(OR(I9="NA",Table3!J9="NA"),"NA",-SUM(I9)+SUM(Table3!J9))</f>
        <v>0</v>
      </c>
      <c r="J47" s="243">
        <f>IF(OR(J9="NA",Table3!K9="NA"),"NA",-SUM(J9)+SUM(Table3!K9))</f>
        <v>0</v>
      </c>
      <c r="K47" s="243">
        <f>IF(OR(K9="NA",Table3!L9="NA"),"NA",-SUM(K9)+SUM(Table3!L9))</f>
        <v>0</v>
      </c>
      <c r="L47" s="243">
        <f>IF(OR(L9="NA",Table3!M9="NA"),"NA",-SUM(L9)+SUM(Table3!M9))</f>
        <v>0</v>
      </c>
      <c r="M47" s="243">
        <f>IF(OR(M9="NA",Table3!N9="NA"),"NA",-SUM(M9)+SUM(Table3!N9))</f>
        <v>0</v>
      </c>
      <c r="N47" s="191"/>
      <c r="O47" s="191"/>
      <c r="P47" s="191"/>
      <c r="Q47" s="103"/>
    </row>
    <row r="48" spans="1:17" ht="10.5" hidden="1" customHeight="1" x14ac:dyDescent="0.2">
      <c r="A48" s="190"/>
      <c r="B48" s="103" t="s">
        <v>720</v>
      </c>
      <c r="C48" s="103"/>
      <c r="D48" s="243">
        <f>IF(OR(D15="NA",Table3!E22="NA"),"NA",-SUM(D15)+SUM(Table3!E22))</f>
        <v>0</v>
      </c>
      <c r="E48" s="243">
        <f>IF(OR(E15="NA",Table3!F22="NA"),"NA",-SUM(E15)+SUM(Table3!F22))</f>
        <v>0</v>
      </c>
      <c r="F48" s="243">
        <f>IF(OR(F15="NA",Table3!G22="NA"),"NA",-SUM(F15)+SUM(Table3!G22))</f>
        <v>0</v>
      </c>
      <c r="G48" s="243">
        <f>IF(OR(G15="NA",Table3!H22="NA"),"NA",-SUM(G15)+SUM(Table3!H22))</f>
        <v>0</v>
      </c>
      <c r="H48" s="243">
        <f>IF(OR(H15="NA",Table3!I22="NA"),"NA",-SUM(H15)+SUM(Table3!I22))</f>
        <v>0</v>
      </c>
      <c r="I48" s="243">
        <f>IF(OR(I15="NA",Table3!J22="NA"),"NA",-SUM(I15)+SUM(Table3!J22))</f>
        <v>0</v>
      </c>
      <c r="J48" s="243">
        <f>IF(OR(J15="NA",Table3!K22="NA"),"NA",-SUM(J15)+SUM(Table3!K22))</f>
        <v>0</v>
      </c>
      <c r="K48" s="243">
        <f>IF(OR(K15="NA",Table3!L22="NA"),"NA",-SUM(K15)+SUM(Table3!L22))</f>
        <v>0</v>
      </c>
      <c r="L48" s="243">
        <f>IF(OR(L15="NA",Table3!M22="NA"),"NA",-SUM(L15)+SUM(Table3!M22))</f>
        <v>0</v>
      </c>
      <c r="M48" s="243">
        <f>IF(OR(M15="NA",Table3!N22="NA"),"NA",-SUM(M15)+SUM(Table3!N22))</f>
        <v>0</v>
      </c>
      <c r="N48" s="191"/>
      <c r="O48" s="191"/>
      <c r="P48" s="191"/>
      <c r="Q48" s="103"/>
    </row>
    <row r="49" spans="1:17" ht="10.5" hidden="1" customHeight="1" x14ac:dyDescent="0.2">
      <c r="A49" s="190"/>
      <c r="B49" s="103" t="s">
        <v>721</v>
      </c>
      <c r="C49" s="103"/>
      <c r="D49" s="243">
        <f>IF(OR(D21="NA",Table3!E49="NA"),"NA",-SUM(D21)+SUM(Table3!E49))</f>
        <v>0</v>
      </c>
      <c r="E49" s="243">
        <f>IF(OR(E21="NA",Table3!F49="NA"),"NA",-SUM(E21)+SUM(Table3!F49))</f>
        <v>0</v>
      </c>
      <c r="F49" s="243">
        <f>IF(OR(F21="NA",Table3!G49="NA"),"NA",-SUM(F21)+SUM(Table3!G49))</f>
        <v>0</v>
      </c>
      <c r="G49" s="243">
        <f>IF(OR(G21="NA",Table3!H49="NA"),"NA",-SUM(G21)+SUM(Table3!H49))</f>
        <v>0</v>
      </c>
      <c r="H49" s="243">
        <f>IF(OR(H21="NA",Table3!I49="NA"),"NA",-SUM(H21)+SUM(Table3!I49))</f>
        <v>0</v>
      </c>
      <c r="I49" s="243">
        <f>IF(OR(I21="NA",Table3!J49="NA"),"NA",-SUM(I21)+SUM(Table3!J49))</f>
        <v>0</v>
      </c>
      <c r="J49" s="243">
        <f>IF(OR(J21="NA",Table3!K49="NA"),"NA",-SUM(J21)+SUM(Table3!K49))</f>
        <v>0</v>
      </c>
      <c r="K49" s="243">
        <f>IF(OR(K21="NA",Table3!L49="NA"),"NA",-SUM(K21)+SUM(Table3!L49))</f>
        <v>0</v>
      </c>
      <c r="L49" s="243">
        <f>IF(OR(L21="NA",Table3!M49="NA"),"NA",-SUM(L21)+SUM(Table3!M49))</f>
        <v>0</v>
      </c>
      <c r="M49" s="243">
        <f>IF(OR(M21="NA",Table3!N49="NA"),"NA",-SUM(M21)+SUM(Table3!N49))</f>
        <v>0</v>
      </c>
      <c r="N49" s="191"/>
      <c r="O49" s="191"/>
      <c r="P49" s="191"/>
      <c r="Q49" s="103"/>
    </row>
    <row r="50" spans="1:17" ht="10.5" hidden="1" customHeight="1" x14ac:dyDescent="0.2">
      <c r="A50" s="190"/>
      <c r="B50" s="103" t="s">
        <v>983</v>
      </c>
      <c r="C50" s="103"/>
      <c r="D50" s="243">
        <f>IF(OR(D11="NA",Table6!E9="NA"),"NA",-SUM(D11)+SUM(Table6!E9))</f>
        <v>0</v>
      </c>
      <c r="E50" s="243">
        <f>IF(OR(E11="NA",Table6!F9="NA"),"NA",-SUM(E11)+SUM(Table6!F9))</f>
        <v>0</v>
      </c>
      <c r="F50" s="243">
        <f>IF(OR(F11="NA",Table6!G9="NA"),"NA",-SUM(F11)+SUM(Table6!G9))</f>
        <v>0</v>
      </c>
      <c r="G50" s="243">
        <f>IF(OR(G11="NA",Table6!H9="NA"),"NA",-SUM(G11)+SUM(Table6!H9))</f>
        <v>0</v>
      </c>
      <c r="H50" s="243">
        <f>IF(OR(H11="NA",Table6!I9="NA"),"NA",-SUM(H11)+SUM(Table6!I9))</f>
        <v>0</v>
      </c>
      <c r="I50" s="243">
        <f>IF(OR(I11="NA",Table6!J9="NA"),"NA",-SUM(I11)+SUM(Table6!J9))</f>
        <v>0</v>
      </c>
      <c r="J50" s="243">
        <f>IF(OR(J11="NA",Table6!K9="NA"),"NA",-SUM(J11)+SUM(Table6!K9))</f>
        <v>0</v>
      </c>
      <c r="K50" s="243">
        <f>IF(OR(K11="NA",Table6!L9="NA"),"NA",-SUM(K11)+SUM(Table6!L9))</f>
        <v>0</v>
      </c>
      <c r="L50" s="243">
        <f>IF(OR(L11="NA",Table6!M9="NA"),"NA",-SUM(L11)+SUM(Table6!M9))</f>
        <v>0</v>
      </c>
      <c r="M50" s="243">
        <f>IF(OR(M11="NA",Table6!N9="NA"),"NA",-SUM(M11)+SUM(Table6!N9))</f>
        <v>0</v>
      </c>
      <c r="N50" s="191"/>
      <c r="O50" s="191"/>
      <c r="P50" s="191"/>
      <c r="Q50" s="103"/>
    </row>
    <row r="51" spans="1:17" ht="10.5" hidden="1" customHeight="1" x14ac:dyDescent="0.2">
      <c r="A51" s="190"/>
      <c r="B51" s="103" t="s">
        <v>984</v>
      </c>
      <c r="C51" s="103"/>
      <c r="D51" s="243">
        <f>IF(OR(D17="NA",Table6!E22="NA"),"NA",-SUM(D17)+SUM(Table6!E22))</f>
        <v>0</v>
      </c>
      <c r="E51" s="243">
        <f>IF(OR(E17="NA",Table6!F22="NA"),"NA",-SUM(E17)+SUM(Table6!F22))</f>
        <v>0</v>
      </c>
      <c r="F51" s="243">
        <f>IF(OR(F17="NA",Table6!G22="NA"),"NA",-SUM(F17)+SUM(Table6!G22))</f>
        <v>0</v>
      </c>
      <c r="G51" s="243">
        <f>IF(OR(G17="NA",Table6!H22="NA"),"NA",-SUM(G17)+SUM(Table6!H22))</f>
        <v>0</v>
      </c>
      <c r="H51" s="243">
        <f>IF(OR(H17="NA",Table6!I22="NA"),"NA",-SUM(H17)+SUM(Table6!I22))</f>
        <v>0</v>
      </c>
      <c r="I51" s="243">
        <f>IF(OR(I17="NA",Table6!J22="NA"),"NA",-SUM(I17)+SUM(Table6!J22))</f>
        <v>0</v>
      </c>
      <c r="J51" s="243">
        <f>IF(OR(J17="NA",Table6!K22="NA"),"NA",-SUM(J17)+SUM(Table6!K22))</f>
        <v>0</v>
      </c>
      <c r="K51" s="243">
        <f>IF(OR(K17="NA",Table6!L22="NA"),"NA",-SUM(K17)+SUM(Table6!L22))</f>
        <v>0</v>
      </c>
      <c r="L51" s="243">
        <f>IF(OR(L17="NA",Table6!M22="NA"),"NA",-SUM(L17)+SUM(Table6!M22))</f>
        <v>0</v>
      </c>
      <c r="M51" s="243">
        <f>IF(OR(M17="NA",Table6!N22="NA"),"NA",-SUM(M17)+SUM(Table6!N22))</f>
        <v>0</v>
      </c>
      <c r="N51" s="191"/>
      <c r="O51" s="191"/>
      <c r="P51" s="191"/>
      <c r="Q51" s="103"/>
    </row>
    <row r="52" spans="1:17" ht="10.5" hidden="1" customHeight="1" x14ac:dyDescent="0.2">
      <c r="A52" s="190"/>
      <c r="B52" s="103" t="s">
        <v>985</v>
      </c>
      <c r="C52" s="103"/>
      <c r="D52" s="243">
        <f>IF(OR(D23="NA",Table6!E49="NA"),"NA",-SUM(D23)+SUM(Table6!E49))</f>
        <v>0</v>
      </c>
      <c r="E52" s="243">
        <f>IF(OR(E23="NA",Table6!F49="NA"),"NA",-SUM(E23)+SUM(Table6!F49))</f>
        <v>0</v>
      </c>
      <c r="F52" s="243">
        <f>IF(OR(F23="NA",Table6!G49="NA"),"NA",-SUM(F23)+SUM(Table6!G49))</f>
        <v>0</v>
      </c>
      <c r="G52" s="243">
        <f>IF(OR(G23="NA",Table6!H49="NA"),"NA",-SUM(G23)+SUM(Table6!H49))</f>
        <v>0</v>
      </c>
      <c r="H52" s="243">
        <f>IF(OR(H23="NA",Table6!I49="NA"),"NA",-SUM(H23)+SUM(Table6!I49))</f>
        <v>0</v>
      </c>
      <c r="I52" s="243">
        <f>IF(OR(I23="NA",Table6!J49="NA"),"NA",-SUM(I23)+SUM(Table6!J49))</f>
        <v>0</v>
      </c>
      <c r="J52" s="243">
        <f>IF(OR(J23="NA",Table6!K49="NA"),"NA",-SUM(J23)+SUM(Table6!K49))</f>
        <v>0</v>
      </c>
      <c r="K52" s="243">
        <f>IF(OR(K23="NA",Table6!L49="NA"),"NA",-SUM(K23)+SUM(Table6!L49))</f>
        <v>0</v>
      </c>
      <c r="L52" s="243">
        <f>IF(OR(L23="NA",Table6!M49="NA"),"NA",-SUM(L23)+SUM(Table6!M49))</f>
        <v>0</v>
      </c>
      <c r="M52" s="243">
        <f>IF(OR(M23="NA",Table6!N49="NA"),"NA",-SUM(M23)+SUM(Table6!N49))</f>
        <v>0</v>
      </c>
      <c r="N52" s="191"/>
      <c r="O52" s="191"/>
      <c r="P52" s="191"/>
      <c r="Q52" s="103"/>
    </row>
    <row r="53" spans="1:17" ht="10.5" hidden="1" customHeight="1" x14ac:dyDescent="0.2">
      <c r="A53" s="190"/>
      <c r="B53" s="103" t="s">
        <v>977</v>
      </c>
      <c r="C53" s="103"/>
      <c r="D53" s="243">
        <f>IF(OR(D10="NA",Table9!E9="NA"),"NA",-SUM(D10)+SUM(Table9!E9))</f>
        <v>0</v>
      </c>
      <c r="E53" s="243">
        <f>IF(OR(E10="NA",Table9!F9="NA"),"NA",-SUM(E10)+SUM(Table9!F9))</f>
        <v>0</v>
      </c>
      <c r="F53" s="243">
        <f>IF(OR(F10="NA",Table9!G9="NA"),"NA",-SUM(F10)+SUM(Table9!G9))</f>
        <v>0</v>
      </c>
      <c r="G53" s="243">
        <f>IF(OR(G10="NA",Table9!H9="NA"),"NA",-SUM(G10)+SUM(Table9!H9))</f>
        <v>0</v>
      </c>
      <c r="H53" s="243">
        <f>IF(OR(H10="NA",Table9!I9="NA"),"NA",-SUM(H10)+SUM(Table9!I9))</f>
        <v>0</v>
      </c>
      <c r="I53" s="243">
        <f>IF(OR(I10="NA",Table9!J9="NA"),"NA",-SUM(I10)+SUM(Table9!J9))</f>
        <v>0</v>
      </c>
      <c r="J53" s="243">
        <f>IF(OR(J10="NA",Table9!K9="NA"),"NA",-SUM(J10)+SUM(Table9!K9))</f>
        <v>0</v>
      </c>
      <c r="K53" s="243">
        <f>IF(OR(K10="NA",Table9!L9="NA"),"NA",-SUM(K10)+SUM(Table9!L9))</f>
        <v>0</v>
      </c>
      <c r="L53" s="243">
        <f>IF(OR(L10="NA",Table9!M9="NA"),"NA",-SUM(L10)+SUM(Table9!M9))</f>
        <v>0</v>
      </c>
      <c r="M53" s="243">
        <f>IF(OR(M10="NA",Table9!N9="NA"),"NA",-SUM(M10)+SUM(Table9!N9))</f>
        <v>0</v>
      </c>
      <c r="N53" s="191"/>
      <c r="O53" s="191"/>
      <c r="P53" s="191"/>
      <c r="Q53" s="103"/>
    </row>
    <row r="54" spans="1:17" ht="10.5" hidden="1" customHeight="1" x14ac:dyDescent="0.2">
      <c r="A54" s="190"/>
      <c r="B54" s="103" t="s">
        <v>978</v>
      </c>
      <c r="C54" s="103"/>
      <c r="D54" s="243">
        <f>IF(OR(D16="NA",Table9!E14="NA"),"NA",-SUM(D16)+SUM(Table9!E14))</f>
        <v>0</v>
      </c>
      <c r="E54" s="243">
        <f>IF(OR(E16="NA",Table9!F14="NA"),"NA",-SUM(E16)+SUM(Table9!F14))</f>
        <v>0</v>
      </c>
      <c r="F54" s="243">
        <f>IF(OR(F16="NA",Table9!G14="NA"),"NA",-SUM(F16)+SUM(Table9!G14))</f>
        <v>0</v>
      </c>
      <c r="G54" s="243">
        <f>IF(OR(G16="NA",Table9!H14="NA"),"NA",-SUM(G16)+SUM(Table9!H14))</f>
        <v>0</v>
      </c>
      <c r="H54" s="243">
        <f>IF(OR(H16="NA",Table9!I14="NA"),"NA",-SUM(H16)+SUM(Table9!I14))</f>
        <v>0</v>
      </c>
      <c r="I54" s="243">
        <f>IF(OR(I16="NA",Table9!J14="NA"),"NA",-SUM(I16)+SUM(Table9!J14))</f>
        <v>0</v>
      </c>
      <c r="J54" s="243">
        <f>IF(OR(J16="NA",Table9!K14="NA"),"NA",-SUM(J16)+SUM(Table9!K14))</f>
        <v>0</v>
      </c>
      <c r="K54" s="243">
        <f>IF(OR(K16="NA",Table9!L14="NA"),"NA",-SUM(K16)+SUM(Table9!L14))</f>
        <v>0</v>
      </c>
      <c r="L54" s="243">
        <f>IF(OR(L16="NA",Table9!M14="NA"),"NA",-SUM(L16)+SUM(Table9!M14))</f>
        <v>0</v>
      </c>
      <c r="M54" s="243">
        <f>IF(OR(M16="NA",Table9!N14="NA"),"NA",-SUM(M16)+SUM(Table9!N14))</f>
        <v>0</v>
      </c>
      <c r="N54" s="191"/>
      <c r="O54" s="191"/>
      <c r="P54" s="191"/>
      <c r="Q54" s="103"/>
    </row>
    <row r="55" spans="1:17" ht="10.5" hidden="1" customHeight="1" x14ac:dyDescent="0.2">
      <c r="A55" s="190"/>
      <c r="B55" s="103" t="s">
        <v>979</v>
      </c>
      <c r="C55" s="103"/>
      <c r="D55" s="243">
        <f>IF(OR(D22="NA",Table9!E25="NA"),"NA",-SUM(D22)+SUM(Table9!E25))</f>
        <v>0</v>
      </c>
      <c r="E55" s="243">
        <f>IF(OR(E22="NA",Table9!F25="NA"),"NA",-SUM(E22)+SUM(Table9!F25))</f>
        <v>0</v>
      </c>
      <c r="F55" s="243">
        <f>IF(OR(F22="NA",Table9!G25="NA"),"NA",-SUM(F22)+SUM(Table9!G25))</f>
        <v>0</v>
      </c>
      <c r="G55" s="243">
        <f>IF(OR(G22="NA",Table9!H25="NA"),"NA",-SUM(G22)+SUM(Table9!H25))</f>
        <v>0</v>
      </c>
      <c r="H55" s="243">
        <f>IF(OR(H22="NA",Table9!I25="NA"),"NA",-SUM(H22)+SUM(Table9!I25))</f>
        <v>0</v>
      </c>
      <c r="I55" s="243">
        <f>IF(OR(I22="NA",Table9!J25="NA"),"NA",-SUM(I22)+SUM(Table9!J25))</f>
        <v>0</v>
      </c>
      <c r="J55" s="243">
        <f>IF(OR(J22="NA",Table9!K25="NA"),"NA",-SUM(J22)+SUM(Table9!K25))</f>
        <v>0</v>
      </c>
      <c r="K55" s="243">
        <f>IF(OR(K22="NA",Table9!L25="NA"),"NA",-SUM(K22)+SUM(Table9!L25))</f>
        <v>0</v>
      </c>
      <c r="L55" s="243">
        <f>IF(OR(L22="NA",Table9!M25="NA"),"NA",-SUM(L22)+SUM(Table9!M25))</f>
        <v>0</v>
      </c>
      <c r="M55" s="243">
        <f>IF(OR(M22="NA",Table9!N25="NA"),"NA",-SUM(M22)+SUM(Table9!N25))</f>
        <v>0</v>
      </c>
      <c r="N55" s="191"/>
      <c r="O55" s="191"/>
      <c r="P55" s="191"/>
      <c r="Q55" s="103"/>
    </row>
    <row r="56" spans="1:17" ht="10.5" hidden="1" customHeight="1" x14ac:dyDescent="0.2">
      <c r="A56" s="190"/>
      <c r="B56" s="103" t="s">
        <v>986</v>
      </c>
      <c r="C56" s="103"/>
      <c r="D56" s="243">
        <f>IF(OR(D28="NA",Table3!E95="NA"),"NA",-SUM(D28)+SUM(Table3!E95))</f>
        <v>0</v>
      </c>
      <c r="E56" s="243">
        <f>IF(OR(E28="NA",Table3!F95="NA"),"NA",-SUM(E28)+SUM(Table3!F95))</f>
        <v>0</v>
      </c>
      <c r="F56" s="243">
        <f>IF(OR(F28="NA",Table3!G95="NA"),"NA",-SUM(F28)+SUM(Table3!G95))</f>
        <v>0</v>
      </c>
      <c r="G56" s="243">
        <f>IF(OR(G28="NA",Table3!H95="NA"),"NA",-SUM(G28)+SUM(Table3!H95))</f>
        <v>0</v>
      </c>
      <c r="H56" s="243">
        <f>IF(OR(H28="NA",Table3!I95="NA"),"NA",-SUM(H28)+SUM(Table3!I95))</f>
        <v>0</v>
      </c>
      <c r="I56" s="243">
        <f>IF(OR(I28="NA",Table3!J95="NA"),"NA",-SUM(I28)+SUM(Table3!J95))</f>
        <v>0</v>
      </c>
      <c r="J56" s="243">
        <f>IF(OR(J28="NA",Table3!K95="NA"),"NA",-SUM(J28)+SUM(Table3!K95))</f>
        <v>0</v>
      </c>
      <c r="K56" s="243">
        <f>IF(OR(K28="NA",Table3!L95="NA"),"NA",-SUM(K28)+SUM(Table3!L95))</f>
        <v>0</v>
      </c>
      <c r="L56" s="243">
        <f>IF(OR(L28="NA",Table3!M95="NA"),"NA",-SUM(L28)+SUM(Table3!M95))</f>
        <v>0</v>
      </c>
      <c r="M56" s="243">
        <f>IF(OR(M28="NA",Table3!N95="NA"),"NA",-SUM(M28)+SUM(Table3!N95))</f>
        <v>0</v>
      </c>
      <c r="N56" s="191"/>
      <c r="O56" s="191"/>
      <c r="P56" s="191"/>
      <c r="Q56" s="103"/>
    </row>
    <row r="57" spans="1:17" ht="10.5" hidden="1" customHeight="1" x14ac:dyDescent="0.2">
      <c r="A57" s="190"/>
      <c r="B57" s="103" t="s">
        <v>987</v>
      </c>
      <c r="C57" s="103"/>
      <c r="D57" s="243">
        <f>IF(OR(D29="NA",Table9!E37="NA"),"NA",-SUM(D29)+SUM(Table9!E37))</f>
        <v>0</v>
      </c>
      <c r="E57" s="243">
        <f>IF(OR(E29="NA",Table9!F37="NA"),"NA",-SUM(E29)+SUM(Table9!F37))</f>
        <v>0</v>
      </c>
      <c r="F57" s="243">
        <f>IF(OR(F29="NA",Table9!G37="NA"),"NA",-SUM(F29)+SUM(Table9!G37))</f>
        <v>0</v>
      </c>
      <c r="G57" s="243">
        <f>IF(OR(G29="NA",Table9!H37="NA"),"NA",-SUM(G29)+SUM(Table9!H37))</f>
        <v>0</v>
      </c>
      <c r="H57" s="243">
        <f>IF(OR(H29="NA",Table9!I37="NA"),"NA",-SUM(H29)+SUM(Table9!I37))</f>
        <v>0</v>
      </c>
      <c r="I57" s="243">
        <f>IF(OR(I29="NA",Table9!J37="NA"),"NA",-SUM(I29)+SUM(Table9!J37))</f>
        <v>0</v>
      </c>
      <c r="J57" s="243">
        <f>IF(OR(J29="NA",Table9!K37="NA"),"NA",-SUM(J29)+SUM(Table9!K37))</f>
        <v>0</v>
      </c>
      <c r="K57" s="243">
        <f>IF(OR(K29="NA",Table9!L37="NA"),"NA",-SUM(K29)+SUM(Table9!L37))</f>
        <v>0</v>
      </c>
      <c r="L57" s="243">
        <f>IF(OR(L29="NA",Table9!M37="NA"),"NA",-SUM(L29)+SUM(Table9!M37))</f>
        <v>0</v>
      </c>
      <c r="M57" s="243">
        <f>IF(OR(M29="NA",Table9!N37="NA"),"NA",-SUM(M29)+SUM(Table9!N37))</f>
        <v>0</v>
      </c>
      <c r="N57" s="191"/>
      <c r="O57" s="191"/>
      <c r="P57" s="191"/>
      <c r="Q57" s="103"/>
    </row>
    <row r="58" spans="1:17" ht="10.5" hidden="1" customHeight="1" x14ac:dyDescent="0.2">
      <c r="A58" s="190"/>
      <c r="B58" s="103" t="s">
        <v>982</v>
      </c>
      <c r="C58" s="103"/>
      <c r="D58" s="243">
        <f>IF(OR(D30="NA",Table6!E81="NA"),"NA",-SUM(D30)+SUM(Table6!E81))</f>
        <v>0</v>
      </c>
      <c r="E58" s="243">
        <f>IF(OR(E30="NA",Table6!F81="NA"),"NA",-SUM(E30)+SUM(Table6!F81))</f>
        <v>0</v>
      </c>
      <c r="F58" s="243">
        <f>IF(OR(F30="NA",Table6!G81="NA"),"NA",-SUM(F30)+SUM(Table6!G81))</f>
        <v>0</v>
      </c>
      <c r="G58" s="243">
        <f>IF(OR(G30="NA",Table6!H81="NA"),"NA",-SUM(G30)+SUM(Table6!H81))</f>
        <v>0</v>
      </c>
      <c r="H58" s="243">
        <f>IF(OR(H30="NA",Table6!I81="NA"),"NA",-SUM(H30)+SUM(Table6!I81))</f>
        <v>0</v>
      </c>
      <c r="I58" s="243">
        <f>IF(OR(I30="NA",Table6!J81="NA"),"NA",-SUM(I30)+SUM(Table6!J81))</f>
        <v>0</v>
      </c>
      <c r="J58" s="243">
        <f>IF(OR(J30="NA",Table6!K81="NA"),"NA",-SUM(J30)+SUM(Table6!K81))</f>
        <v>0</v>
      </c>
      <c r="K58" s="243">
        <f>IF(OR(K30="NA",Table6!L81="NA"),"NA",-SUM(K30)+SUM(Table6!L81))</f>
        <v>0</v>
      </c>
      <c r="L58" s="243">
        <f>IF(OR(L30="NA",Table6!M81="NA"),"NA",-SUM(L30)+SUM(Table6!M81))</f>
        <v>0</v>
      </c>
      <c r="M58" s="243">
        <f>IF(OR(M30="NA",Table6!N81="NA"),"NA",-SUM(M30)+SUM(Table6!N81))</f>
        <v>0</v>
      </c>
      <c r="N58" s="191"/>
      <c r="O58" s="191"/>
      <c r="P58" s="191"/>
      <c r="Q58" s="103"/>
    </row>
    <row r="59" spans="1:17" ht="10.5" hidden="1" customHeight="1" x14ac:dyDescent="0.2">
      <c r="A59" s="190"/>
      <c r="B59" s="103" t="s">
        <v>1395</v>
      </c>
      <c r="C59" s="103"/>
      <c r="D59" s="243">
        <f>IF(OR(D34="NA",Table3!E99="NA"),"NA",-SUM(D34)+SUM(Table3!E99))</f>
        <v>0</v>
      </c>
      <c r="E59" s="243">
        <f>IF(OR(E34="NA",Table3!F99="NA"),"NA",-SUM(E34)+SUM(Table3!F99))</f>
        <v>0</v>
      </c>
      <c r="F59" s="243">
        <f>IF(OR(F34="NA",Table3!G99="NA"),"NA",-SUM(F34)+SUM(Table3!G99))</f>
        <v>0</v>
      </c>
      <c r="G59" s="243">
        <f>IF(OR(G34="NA",Table3!H99="NA"),"NA",-SUM(G34)+SUM(Table3!H99))</f>
        <v>0</v>
      </c>
      <c r="H59" s="243">
        <f>IF(OR(H34="NA",Table3!I99="NA"),"NA",-SUM(H34)+SUM(Table3!I99))</f>
        <v>0</v>
      </c>
      <c r="I59" s="243">
        <f>IF(OR(I34="NA",Table3!J99="NA"),"NA",-SUM(I34)+SUM(Table3!J99))</f>
        <v>0</v>
      </c>
      <c r="J59" s="243">
        <f>IF(OR(J34="NA",Table3!K99="NA"),"NA",-SUM(J34)+SUM(Table3!K99))</f>
        <v>0</v>
      </c>
      <c r="K59" s="243">
        <f>IF(OR(K34="NA",Table3!L99="NA"),"NA",-SUM(K34)+SUM(Table3!L99))</f>
        <v>0</v>
      </c>
      <c r="L59" s="243">
        <f>IF(OR(L34="NA",Table3!M99="NA"),"NA",-SUM(L34)+SUM(Table3!M99))</f>
        <v>0</v>
      </c>
      <c r="M59" s="243">
        <f>IF(OR(M34="NA",Table3!N99="NA"),"NA",-SUM(M34)+SUM(Table3!N99))</f>
        <v>0</v>
      </c>
      <c r="N59" s="191"/>
      <c r="O59" s="191"/>
      <c r="P59" s="191"/>
      <c r="Q59" s="103"/>
    </row>
    <row r="60" spans="1:17" ht="10.5" hidden="1" customHeight="1" x14ac:dyDescent="0.2">
      <c r="A60" s="190"/>
      <c r="B60" s="103" t="s">
        <v>1396</v>
      </c>
      <c r="C60" s="103"/>
      <c r="D60" s="243" t="str">
        <f>IF(OR(D35="NA",Table9!E41="NA"),"NA",-SUM(D35)+SUM(Table9!E41))</f>
        <v>NA</v>
      </c>
      <c r="E60" s="243" t="str">
        <f>IF(OR(E35="NA",Table9!F41="NA"),"NA",-SUM(E35)+SUM(Table9!F41))</f>
        <v>NA</v>
      </c>
      <c r="F60" s="243" t="str">
        <f>IF(OR(F35="NA",Table9!G41="NA"),"NA",-SUM(F35)+SUM(Table9!G41))</f>
        <v>NA</v>
      </c>
      <c r="G60" s="243" t="str">
        <f>IF(OR(G35="NA",Table9!H41="NA"),"NA",-SUM(G35)+SUM(Table9!H41))</f>
        <v>NA</v>
      </c>
      <c r="H60" s="243" t="str">
        <f>IF(OR(H35="NA",Table9!I41="NA"),"NA",-SUM(H35)+SUM(Table9!I41))</f>
        <v>NA</v>
      </c>
      <c r="I60" s="243" t="str">
        <f>IF(OR(I35="NA",Table9!J41="NA"),"NA",-SUM(I35)+SUM(Table9!J41))</f>
        <v>NA</v>
      </c>
      <c r="J60" s="243" t="str">
        <f>IF(OR(J35="NA",Table9!K41="NA"),"NA",-SUM(J35)+SUM(Table9!K41))</f>
        <v>NA</v>
      </c>
      <c r="K60" s="243" t="str">
        <f>IF(OR(K35="NA",Table9!L41="NA"),"NA",-SUM(K35)+SUM(Table9!L41))</f>
        <v>NA</v>
      </c>
      <c r="L60" s="243" t="str">
        <f>IF(OR(L35="NA",Table9!M41="NA"),"NA",-SUM(L35)+SUM(Table9!M41))</f>
        <v>NA</v>
      </c>
      <c r="M60" s="243" t="str">
        <f>IF(OR(M35="NA",Table9!N41="NA"),"NA",-SUM(M35)+SUM(Table9!N41))</f>
        <v>NA</v>
      </c>
      <c r="N60" s="191"/>
      <c r="O60" s="191"/>
      <c r="P60" s="191"/>
      <c r="Q60" s="103"/>
    </row>
    <row r="61" spans="1:17" ht="10.5" hidden="1" customHeight="1" x14ac:dyDescent="0.2">
      <c r="A61" s="190"/>
      <c r="B61" s="103" t="s">
        <v>1397</v>
      </c>
      <c r="C61" s="103"/>
      <c r="D61" s="243">
        <f>IF(OR(D36="NA",Table6!E86="NA"),"NA",-SUM(D36)+SUM(Table6!E86))</f>
        <v>0</v>
      </c>
      <c r="E61" s="243">
        <f>IF(OR(E36="NA",Table6!F86="NA"),"NA",-SUM(E36)+SUM(Table6!F86))</f>
        <v>0</v>
      </c>
      <c r="F61" s="243">
        <f>IF(OR(F36="NA",Table6!G86="NA"),"NA",-SUM(F36)+SUM(Table6!G86))</f>
        <v>0</v>
      </c>
      <c r="G61" s="243">
        <f>IF(OR(G36="NA",Table6!H86="NA"),"NA",-SUM(G36)+SUM(Table6!H86))</f>
        <v>0</v>
      </c>
      <c r="H61" s="243">
        <f>IF(OR(H36="NA",Table6!I86="NA"),"NA",-SUM(H36)+SUM(Table6!I86))</f>
        <v>0</v>
      </c>
      <c r="I61" s="243">
        <f>IF(OR(I36="NA",Table6!J86="NA"),"NA",-SUM(I36)+SUM(Table6!J86))</f>
        <v>0</v>
      </c>
      <c r="J61" s="243">
        <f>IF(OR(J36="NA",Table6!K86="NA"),"NA",-SUM(J36)+SUM(Table6!K86))</f>
        <v>0</v>
      </c>
      <c r="K61" s="243">
        <f>IF(OR(K36="NA",Table6!L86="NA"),"NA",-SUM(K36)+SUM(Table6!L86))</f>
        <v>0</v>
      </c>
      <c r="L61" s="243">
        <f>IF(OR(L36="NA",Table6!M86="NA"),"NA",-SUM(L36)+SUM(Table6!M86))</f>
        <v>0</v>
      </c>
      <c r="M61" s="243">
        <f>IF(OR(M36="NA",Table6!N86="NA"),"NA",-SUM(M36)+SUM(Table6!N86))</f>
        <v>0</v>
      </c>
      <c r="N61" s="191"/>
      <c r="O61" s="191"/>
      <c r="P61" s="191"/>
      <c r="Q61" s="103"/>
    </row>
    <row r="62" spans="1:17" ht="10.5" customHeight="1" x14ac:dyDescent="0.2">
      <c r="A62" s="217"/>
      <c r="B62" s="94"/>
      <c r="C62" s="77" t="s">
        <v>48</v>
      </c>
      <c r="D62" s="245"/>
      <c r="E62" s="245"/>
      <c r="F62" s="245"/>
      <c r="G62" s="245"/>
      <c r="H62" s="245"/>
      <c r="I62" s="245"/>
      <c r="J62" s="245"/>
      <c r="K62" s="245"/>
      <c r="L62" s="245"/>
      <c r="M62" s="245"/>
      <c r="N62" s="191"/>
      <c r="O62" s="191"/>
      <c r="P62" s="191"/>
      <c r="Q62" s="103"/>
    </row>
    <row r="63" spans="1:17" x14ac:dyDescent="0.2">
      <c r="A63" s="190"/>
      <c r="B63" s="103"/>
      <c r="C63" s="103"/>
      <c r="D63" s="103"/>
      <c r="E63" s="103"/>
      <c r="F63" s="103"/>
      <c r="G63" s="103"/>
      <c r="H63" s="103"/>
      <c r="I63" s="103"/>
      <c r="J63" s="103"/>
      <c r="K63" s="103"/>
      <c r="L63" s="103"/>
      <c r="M63" s="103"/>
      <c r="N63" s="103"/>
      <c r="O63" s="103"/>
      <c r="P63" s="103"/>
      <c r="Q63" s="103"/>
    </row>
    <row r="64" spans="1:17" x14ac:dyDescent="0.2">
      <c r="A64" s="190"/>
      <c r="B64" s="103"/>
      <c r="C64" s="103"/>
      <c r="D64" s="103"/>
      <c r="E64" s="103"/>
      <c r="F64" s="103"/>
      <c r="G64" s="103"/>
      <c r="H64" s="103"/>
      <c r="I64" s="103"/>
      <c r="J64" s="103"/>
      <c r="K64" s="103"/>
      <c r="L64" s="103"/>
      <c r="M64" s="103"/>
      <c r="N64" s="103"/>
      <c r="O64" s="103"/>
      <c r="P64" s="103"/>
      <c r="Q64" s="103"/>
    </row>
    <row r="65" spans="1:17" x14ac:dyDescent="0.2">
      <c r="A65" s="190"/>
      <c r="B65" s="103"/>
      <c r="C65" s="103"/>
      <c r="D65" s="103"/>
      <c r="E65" s="103"/>
      <c r="F65" s="103"/>
      <c r="G65" s="103"/>
      <c r="H65" s="103"/>
      <c r="I65" s="103"/>
      <c r="J65" s="103"/>
      <c r="K65" s="103"/>
      <c r="L65" s="103"/>
      <c r="M65" s="103"/>
      <c r="N65" s="103"/>
      <c r="O65" s="103"/>
      <c r="P65" s="103"/>
      <c r="Q65" s="103"/>
    </row>
    <row r="66" spans="1:17" x14ac:dyDescent="0.2">
      <c r="A66" s="190"/>
      <c r="B66" s="103"/>
      <c r="C66" s="103"/>
      <c r="D66" s="103"/>
      <c r="E66" s="103"/>
      <c r="F66" s="103"/>
      <c r="G66" s="103"/>
      <c r="H66" s="103"/>
      <c r="I66" s="103"/>
      <c r="J66" s="103"/>
      <c r="K66" s="103"/>
      <c r="L66" s="103"/>
      <c r="M66" s="103"/>
      <c r="N66" s="103"/>
      <c r="O66" s="103"/>
      <c r="P66" s="103"/>
      <c r="Q66" s="103"/>
    </row>
    <row r="67" spans="1:17" x14ac:dyDescent="0.2">
      <c r="A67" s="190"/>
      <c r="B67" s="103"/>
      <c r="C67" s="103"/>
      <c r="D67" s="103"/>
      <c r="E67" s="103"/>
      <c r="F67" s="103"/>
      <c r="G67" s="103"/>
      <c r="H67" s="103"/>
      <c r="I67" s="103"/>
      <c r="J67" s="103"/>
      <c r="K67" s="103"/>
      <c r="L67" s="103"/>
      <c r="M67" s="103"/>
      <c r="N67" s="103"/>
      <c r="O67" s="103"/>
      <c r="P67" s="103"/>
      <c r="Q67" s="103"/>
    </row>
    <row r="68" spans="1:17" x14ac:dyDescent="0.2">
      <c r="A68" s="190"/>
      <c r="B68" s="103"/>
      <c r="C68" s="103"/>
      <c r="D68" s="103"/>
      <c r="E68" s="103"/>
      <c r="F68" s="103"/>
      <c r="G68" s="103"/>
      <c r="H68" s="103"/>
      <c r="I68" s="103"/>
      <c r="J68" s="103"/>
      <c r="K68" s="103"/>
      <c r="L68" s="103"/>
      <c r="M68" s="103"/>
      <c r="N68" s="103"/>
      <c r="O68" s="103"/>
      <c r="P68" s="103"/>
      <c r="Q68" s="103"/>
    </row>
    <row r="69" spans="1:17" x14ac:dyDescent="0.2">
      <c r="A69" s="190"/>
      <c r="B69" s="103"/>
      <c r="C69" s="103"/>
      <c r="D69" s="103"/>
      <c r="E69" s="103"/>
      <c r="F69" s="103"/>
      <c r="G69" s="103"/>
      <c r="H69" s="103"/>
      <c r="I69" s="103"/>
      <c r="J69" s="103"/>
      <c r="K69" s="103"/>
      <c r="L69" s="103"/>
      <c r="M69" s="103"/>
      <c r="N69" s="103"/>
      <c r="O69" s="103"/>
      <c r="P69" s="103"/>
      <c r="Q69" s="103"/>
    </row>
    <row r="70" spans="1:17" x14ac:dyDescent="0.2">
      <c r="A70" s="190"/>
      <c r="B70" s="103"/>
      <c r="C70" s="103"/>
      <c r="D70" s="103"/>
      <c r="E70" s="103"/>
      <c r="F70" s="103"/>
      <c r="G70" s="103"/>
      <c r="H70" s="103"/>
      <c r="I70" s="103"/>
      <c r="J70" s="103"/>
      <c r="K70" s="103"/>
      <c r="L70" s="103"/>
      <c r="M70" s="103"/>
      <c r="N70" s="103"/>
      <c r="O70" s="103"/>
      <c r="P70" s="103"/>
      <c r="Q70" s="103"/>
    </row>
    <row r="71" spans="1:17" x14ac:dyDescent="0.2">
      <c r="A71" s="190"/>
      <c r="B71" s="103"/>
      <c r="C71" s="103"/>
      <c r="D71" s="103"/>
      <c r="E71" s="103"/>
      <c r="F71" s="103"/>
      <c r="G71" s="103"/>
      <c r="H71" s="103"/>
      <c r="I71" s="103"/>
      <c r="J71" s="103"/>
      <c r="K71" s="103"/>
      <c r="L71" s="103"/>
      <c r="M71" s="103"/>
      <c r="N71" s="103"/>
      <c r="O71" s="103"/>
      <c r="P71" s="103"/>
      <c r="Q71" s="103"/>
    </row>
    <row r="72" spans="1:17" x14ac:dyDescent="0.2">
      <c r="A72" s="190"/>
      <c r="B72" s="103"/>
      <c r="C72" s="103"/>
      <c r="D72" s="103"/>
      <c r="E72" s="103"/>
      <c r="F72" s="103"/>
      <c r="G72" s="103"/>
      <c r="H72" s="103"/>
      <c r="I72" s="103"/>
      <c r="J72" s="103"/>
      <c r="K72" s="103"/>
      <c r="L72" s="103"/>
      <c r="M72" s="103"/>
      <c r="N72" s="103"/>
      <c r="O72" s="103"/>
      <c r="P72" s="103"/>
      <c r="Q72" s="103"/>
    </row>
    <row r="73" spans="1:17" x14ac:dyDescent="0.2">
      <c r="A73" s="190"/>
      <c r="B73" s="103"/>
      <c r="C73" s="103"/>
      <c r="D73" s="103"/>
      <c r="E73" s="103"/>
      <c r="F73" s="103"/>
      <c r="G73" s="103"/>
      <c r="H73" s="103"/>
      <c r="I73" s="103"/>
      <c r="J73" s="103"/>
      <c r="K73" s="103"/>
      <c r="L73" s="103"/>
      <c r="M73" s="103"/>
      <c r="N73" s="103"/>
      <c r="O73" s="103"/>
      <c r="P73" s="103"/>
      <c r="Q73" s="103"/>
    </row>
    <row r="74" spans="1:17" x14ac:dyDescent="0.2">
      <c r="A74" s="190"/>
      <c r="B74" s="103"/>
      <c r="C74" s="103"/>
      <c r="D74" s="103"/>
      <c r="E74" s="103"/>
      <c r="F74" s="103"/>
      <c r="G74" s="103"/>
      <c r="H74" s="103"/>
      <c r="I74" s="103"/>
      <c r="J74" s="103"/>
      <c r="K74" s="103"/>
      <c r="L74" s="103"/>
      <c r="M74" s="103"/>
      <c r="N74" s="103"/>
      <c r="O74" s="103"/>
      <c r="P74" s="103"/>
      <c r="Q74" s="103"/>
    </row>
    <row r="75" spans="1:17" x14ac:dyDescent="0.2">
      <c r="A75" s="190"/>
      <c r="B75" s="103"/>
      <c r="C75" s="103"/>
      <c r="D75" s="103"/>
      <c r="E75" s="103"/>
      <c r="F75" s="103"/>
      <c r="G75" s="103"/>
      <c r="H75" s="103"/>
      <c r="I75" s="103"/>
      <c r="J75" s="103"/>
      <c r="K75" s="103"/>
      <c r="L75" s="103"/>
      <c r="M75" s="103"/>
      <c r="N75" s="103"/>
      <c r="O75" s="103"/>
      <c r="P75" s="103"/>
      <c r="Q75" s="103"/>
    </row>
    <row r="76" spans="1:17" x14ac:dyDescent="0.2">
      <c r="A76" s="190"/>
      <c r="B76" s="103"/>
      <c r="C76" s="103"/>
      <c r="D76" s="103"/>
      <c r="E76" s="103"/>
      <c r="F76" s="103"/>
      <c r="G76" s="103"/>
      <c r="H76" s="103"/>
      <c r="I76" s="103"/>
      <c r="J76" s="103"/>
      <c r="K76" s="103"/>
      <c r="L76" s="103"/>
      <c r="M76" s="103"/>
      <c r="N76" s="103"/>
      <c r="O76" s="103"/>
      <c r="P76" s="103"/>
      <c r="Q76" s="103"/>
    </row>
    <row r="77" spans="1:17" x14ac:dyDescent="0.2">
      <c r="A77" s="190"/>
      <c r="B77" s="103"/>
      <c r="C77" s="103"/>
      <c r="D77" s="103"/>
      <c r="E77" s="103"/>
      <c r="F77" s="103"/>
      <c r="G77" s="103"/>
      <c r="H77" s="103"/>
      <c r="I77" s="103"/>
      <c r="J77" s="103"/>
      <c r="K77" s="103"/>
      <c r="L77" s="103"/>
      <c r="M77" s="103"/>
      <c r="N77" s="103"/>
      <c r="O77" s="103"/>
      <c r="P77" s="103"/>
      <c r="Q77" s="103"/>
    </row>
    <row r="78" spans="1:17" x14ac:dyDescent="0.2">
      <c r="A78" s="190"/>
      <c r="B78" s="103"/>
      <c r="C78" s="103"/>
      <c r="D78" s="103"/>
      <c r="E78" s="103"/>
      <c r="F78" s="103"/>
      <c r="G78" s="103"/>
      <c r="H78" s="103"/>
      <c r="I78" s="103"/>
      <c r="J78" s="103"/>
      <c r="K78" s="103"/>
      <c r="L78" s="103"/>
      <c r="M78" s="103"/>
      <c r="N78" s="103"/>
      <c r="O78" s="103"/>
      <c r="P78" s="103"/>
      <c r="Q78" s="103"/>
    </row>
    <row r="79" spans="1:17" x14ac:dyDescent="0.2">
      <c r="A79" s="190"/>
      <c r="B79" s="103"/>
      <c r="C79" s="103"/>
      <c r="D79" s="103"/>
      <c r="E79" s="103"/>
      <c r="F79" s="103"/>
      <c r="G79" s="103"/>
      <c r="H79" s="103"/>
      <c r="I79" s="103"/>
      <c r="J79" s="103"/>
      <c r="K79" s="103"/>
      <c r="L79" s="103"/>
      <c r="M79" s="103"/>
      <c r="N79" s="103"/>
      <c r="O79" s="103"/>
      <c r="P79" s="103"/>
      <c r="Q79" s="103"/>
    </row>
    <row r="80" spans="1:17" x14ac:dyDescent="0.2">
      <c r="A80" s="190"/>
      <c r="B80" s="103"/>
      <c r="C80" s="103"/>
      <c r="D80" s="103"/>
      <c r="E80" s="103"/>
      <c r="F80" s="103"/>
      <c r="G80" s="103"/>
      <c r="H80" s="103"/>
      <c r="I80" s="103"/>
      <c r="J80" s="103"/>
      <c r="K80" s="103"/>
      <c r="L80" s="103"/>
      <c r="M80" s="103"/>
      <c r="N80" s="103"/>
      <c r="O80" s="103"/>
      <c r="P80" s="103"/>
      <c r="Q80" s="103"/>
    </row>
    <row r="81" spans="1:17" x14ac:dyDescent="0.2">
      <c r="A81" s="190"/>
      <c r="B81" s="103"/>
      <c r="C81" s="103"/>
      <c r="D81" s="103"/>
      <c r="E81" s="103"/>
      <c r="F81" s="103"/>
      <c r="G81" s="103"/>
      <c r="H81" s="103"/>
      <c r="I81" s="103"/>
      <c r="J81" s="103"/>
      <c r="K81" s="103"/>
      <c r="L81" s="103"/>
      <c r="M81" s="103"/>
      <c r="N81" s="103"/>
      <c r="O81" s="103"/>
      <c r="P81" s="103"/>
      <c r="Q81" s="103"/>
    </row>
    <row r="82" spans="1:17" x14ac:dyDescent="0.2">
      <c r="A82" s="190"/>
      <c r="B82" s="103"/>
      <c r="C82" s="103"/>
      <c r="D82" s="103"/>
      <c r="E82" s="103"/>
      <c r="F82" s="103"/>
      <c r="G82" s="103"/>
      <c r="H82" s="103"/>
      <c r="I82" s="103"/>
      <c r="J82" s="103"/>
      <c r="K82" s="103"/>
      <c r="L82" s="103"/>
      <c r="M82" s="103"/>
      <c r="N82" s="103"/>
      <c r="O82" s="103"/>
      <c r="P82" s="103"/>
      <c r="Q82" s="103"/>
    </row>
    <row r="83" spans="1:17" x14ac:dyDescent="0.2">
      <c r="A83" s="190"/>
      <c r="B83" s="103"/>
      <c r="C83" s="103"/>
      <c r="D83" s="103"/>
      <c r="E83" s="103"/>
      <c r="F83" s="103"/>
      <c r="G83" s="103"/>
      <c r="H83" s="103"/>
      <c r="I83" s="103"/>
      <c r="J83" s="103"/>
      <c r="K83" s="103"/>
      <c r="L83" s="103"/>
      <c r="M83" s="103"/>
      <c r="N83" s="103"/>
      <c r="O83" s="103"/>
      <c r="P83" s="103"/>
      <c r="Q83" s="103"/>
    </row>
    <row r="84" spans="1:17" x14ac:dyDescent="0.2">
      <c r="A84" s="190"/>
      <c r="B84" s="103"/>
      <c r="C84" s="103"/>
      <c r="D84" s="103"/>
      <c r="E84" s="103"/>
      <c r="F84" s="103"/>
      <c r="G84" s="103"/>
      <c r="H84" s="103"/>
      <c r="I84" s="103"/>
      <c r="J84" s="103"/>
      <c r="K84" s="103"/>
      <c r="L84" s="103"/>
      <c r="M84" s="103"/>
      <c r="N84" s="103"/>
      <c r="O84" s="103"/>
      <c r="P84" s="103"/>
      <c r="Q84" s="103"/>
    </row>
    <row r="85" spans="1:17" x14ac:dyDescent="0.2">
      <c r="A85" s="190"/>
      <c r="B85" s="103"/>
      <c r="C85" s="103"/>
      <c r="D85" s="103"/>
      <c r="E85" s="103"/>
      <c r="F85" s="103"/>
      <c r="G85" s="103"/>
      <c r="H85" s="103"/>
      <c r="I85" s="103"/>
      <c r="J85" s="103"/>
      <c r="K85" s="103"/>
      <c r="L85" s="103"/>
      <c r="M85" s="103"/>
      <c r="N85" s="103"/>
      <c r="O85" s="103"/>
      <c r="P85" s="103"/>
      <c r="Q85" s="103"/>
    </row>
    <row r="86" spans="1:17" x14ac:dyDescent="0.2">
      <c r="A86" s="190"/>
      <c r="B86" s="103"/>
      <c r="C86" s="103"/>
      <c r="D86" s="103"/>
      <c r="E86" s="103"/>
      <c r="F86" s="103"/>
      <c r="G86" s="103"/>
      <c r="H86" s="103"/>
      <c r="I86" s="103"/>
      <c r="J86" s="103"/>
      <c r="K86" s="103"/>
      <c r="L86" s="103"/>
      <c r="M86" s="103"/>
      <c r="N86" s="103"/>
      <c r="O86" s="103"/>
      <c r="P86" s="103"/>
      <c r="Q86" s="103"/>
    </row>
    <row r="87" spans="1:17" x14ac:dyDescent="0.2">
      <c r="A87" s="190"/>
      <c r="B87" s="103"/>
      <c r="C87" s="103"/>
      <c r="D87" s="103"/>
      <c r="E87" s="103"/>
      <c r="F87" s="103"/>
      <c r="G87" s="103"/>
      <c r="H87" s="103"/>
      <c r="I87" s="103"/>
      <c r="J87" s="103"/>
      <c r="K87" s="103"/>
      <c r="L87" s="103"/>
      <c r="M87" s="103"/>
      <c r="N87" s="103"/>
      <c r="O87" s="103"/>
      <c r="P87" s="103"/>
      <c r="Q87" s="103"/>
    </row>
    <row r="88" spans="1:17" x14ac:dyDescent="0.2">
      <c r="A88" s="190"/>
      <c r="B88" s="103"/>
      <c r="C88" s="103"/>
      <c r="D88" s="103"/>
      <c r="E88" s="103"/>
      <c r="F88" s="103"/>
      <c r="G88" s="103"/>
      <c r="H88" s="103"/>
      <c r="I88" s="103"/>
      <c r="J88" s="103"/>
      <c r="K88" s="103"/>
      <c r="L88" s="103"/>
      <c r="M88" s="103"/>
      <c r="N88" s="103"/>
      <c r="O88" s="103"/>
      <c r="P88" s="103"/>
      <c r="Q88" s="103"/>
    </row>
  </sheetData>
  <sheetProtection password="EECE" sheet="1" objects="1" scenarios="1" formatCells="0" formatColumns="0" formatRows="0"/>
  <customSheetViews>
    <customSheetView guid="{C3088B2E-F853-4D7E-B687-C6500891DFCB}" scale="110" showPageBreaks="1" fitToPage="1" printArea="1">
      <pane xSplit="3" ySplit="6" topLeftCell="D7" activePane="bottomRight" state="frozen"/>
      <selection pane="bottomRight"/>
      <pageMargins left="0.47244094488188998" right="0.47244094488188998" top="0.59055118110236204" bottom="0.59055118110236204" header="0.39370078740157499" footer="0.39370078740157499"/>
      <pageSetup scale="81" fitToHeight="0" orientation="landscape" r:id="rId1"/>
      <headerFooter alignWithMargins="0">
        <oddFooter>&amp;L&amp;8&amp;D  &amp;T&amp;R&amp;8March 2014, Version 0.2</oddFooter>
      </headerFooter>
    </customSheetView>
    <customSheetView guid="{F866C9B2-56BF-4FE4-B270-CC8FE15A5892}" scale="110" showPageBreaks="1" fitToPage="1" printArea="1">
      <pane xSplit="2" ySplit="6" topLeftCell="D7" activePane="bottomRight" state="frozen"/>
      <selection pane="bottomRight"/>
      <pageMargins left="0.47244094488188998" right="0.47244094488188998" top="0.59055118110236204" bottom="0.59055118110236204" header="0.39370078740157499" footer="0.39370078740157499"/>
      <pageSetup scale="80" fitToHeight="0" orientation="landscape" r:id="rId2"/>
      <headerFooter alignWithMargins="0">
        <oddFooter>&amp;L&amp;8&amp;D  &amp;T&amp;R&amp;8March 2014, Version 0.2</oddFooter>
      </headerFooter>
    </customSheetView>
    <customSheetView guid="{D66484CB-9D53-43A1-A83D-11534BC40BF6}" scale="110" showPageBreaks="1" fitToPage="1" printArea="1">
      <pane xSplit="3" ySplit="6" topLeftCell="D7" activePane="bottomRight" state="frozen"/>
      <selection pane="bottomRight" activeCell="D7" sqref="D7"/>
      <pageMargins left="0.47244094488188998" right="0.47244094488188998" top="0.59055118110236204" bottom="0.59055118110236204" header="0.39370078740157499" footer="0.39370078740157499"/>
      <pageSetup scale="80" fitToHeight="0" orientation="landscape" r:id="rId3"/>
      <headerFooter alignWithMargins="0">
        <oddFooter>&amp;L&amp;8&amp;D  &amp;T&amp;R&amp;8March 2014, Version 0.2</oddFooter>
      </headerFooter>
    </customSheetView>
  </customSheetViews>
  <mergeCells count="12">
    <mergeCell ref="A4:B5"/>
    <mergeCell ref="I4:I5"/>
    <mergeCell ref="F3:G3"/>
    <mergeCell ref="D4:G4"/>
    <mergeCell ref="H4:H5"/>
    <mergeCell ref="O4:P4"/>
    <mergeCell ref="J4:J5"/>
    <mergeCell ref="K4:K5"/>
    <mergeCell ref="L4:L5"/>
    <mergeCell ref="F1:L1"/>
    <mergeCell ref="E2:M2"/>
    <mergeCell ref="M3:M5"/>
  </mergeCells>
  <conditionalFormatting sqref="O7:P37">
    <cfRule type="cellIs" dxfId="305" priority="12" operator="lessThan">
      <formula>-0.1</formula>
    </cfRule>
    <cfRule type="cellIs" dxfId="304" priority="13" operator="greaterThan">
      <formula>0.1</formula>
    </cfRule>
  </conditionalFormatting>
  <conditionalFormatting sqref="O8:P31">
    <cfRule type="containsText" dxfId="303" priority="5" operator="containsText" text="NA">
      <formula>NOT(ISERROR(SEARCH("NA",O8)))</formula>
    </cfRule>
    <cfRule type="cellIs" dxfId="302" priority="6" operator="between">
      <formula>-0.1</formula>
      <formula>0.1</formula>
    </cfRule>
  </conditionalFormatting>
  <conditionalFormatting sqref="D41:M45">
    <cfRule type="containsText" dxfId="301" priority="1" operator="containsText" text="NA">
      <formula>NOT(ISERROR(SEARCH("NA",D41)))</formula>
    </cfRule>
    <cfRule type="cellIs" dxfId="300" priority="2" operator="between">
      <formula>-0.1</formula>
      <formula>0.1</formula>
    </cfRule>
    <cfRule type="cellIs" dxfId="299" priority="3" operator="lessThan">
      <formula>-0.1</formula>
    </cfRule>
    <cfRule type="cellIs" dxfId="298" priority="4" operator="greaterThan">
      <formula>0.1</formula>
    </cfRule>
  </conditionalFormatting>
  <pageMargins left="0.47244094488188998" right="0.47244094488188998" top="0.59055118110236204" bottom="0.59055118110236204" header="0.39370078740157499" footer="0.39370078740157499"/>
  <pageSetup scale="80" fitToHeight="0" orientation="landscape" r:id="rId4"/>
  <headerFooter alignWithMargins="0">
    <oddFooter>&amp;L&amp;8&amp;D  &amp;T&amp;R&amp;8March 2014, Version 0.2</oddFooter>
  </headerFooter>
  <legacyDrawing r:id="rId5"/>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indexed="48"/>
    <pageSetUpPr fitToPage="1"/>
  </sheetPr>
  <dimension ref="A1:P77"/>
  <sheetViews>
    <sheetView workbookViewId="0">
      <pane xSplit="3" ySplit="6" topLeftCell="D7" activePane="bottomRight" state="frozen"/>
      <selection activeCell="Q53" sqref="P8:Q53"/>
      <selection pane="topRight" activeCell="Q53" sqref="P8:Q53"/>
      <selection pane="bottomLeft" activeCell="Q53" sqref="P8:Q53"/>
      <selection pane="bottomRight" activeCell="B21" sqref="B21"/>
    </sheetView>
  </sheetViews>
  <sheetFormatPr baseColWidth="10" defaultColWidth="9.140625" defaultRowHeight="12.75" x14ac:dyDescent="0.2"/>
  <cols>
    <col min="1" max="1" width="7.28515625" style="221" customWidth="1"/>
    <col min="2" max="2" width="50.7109375" style="164" customWidth="1"/>
    <col min="3" max="3" width="0.85546875" style="164" customWidth="1"/>
    <col min="4" max="13" width="10" style="164" customWidth="1"/>
    <col min="14" max="14" width="3.28515625" style="164" customWidth="1"/>
    <col min="15" max="16" width="11.7109375" style="164" customWidth="1"/>
    <col min="17" max="17" width="9.140625" style="164" customWidth="1"/>
    <col min="18" max="16384" width="9.140625" style="164"/>
  </cols>
  <sheetData>
    <row r="1" spans="1:16" ht="14.25" x14ac:dyDescent="0.25">
      <c r="A1" s="513" t="str">
        <f>+Coverpage!A1</f>
        <v>GFSM2014_V1.5</v>
      </c>
      <c r="B1" s="514"/>
      <c r="C1" s="515"/>
      <c r="D1" s="516"/>
      <c r="E1" s="517"/>
      <c r="F1" s="771" t="str">
        <f>Reporting_Country_Name</f>
        <v>Colombia</v>
      </c>
      <c r="G1" s="771"/>
      <c r="H1" s="771"/>
      <c r="I1" s="771"/>
      <c r="J1" s="771"/>
      <c r="K1" s="771"/>
      <c r="L1" s="771"/>
      <c r="M1" s="518" t="str">
        <f>Reporting_Country_Code</f>
        <v>233</v>
      </c>
      <c r="N1" s="519"/>
      <c r="O1" s="694" t="s">
        <v>2731</v>
      </c>
      <c r="P1" s="222"/>
    </row>
    <row r="2" spans="1:16" ht="14.25" x14ac:dyDescent="0.25">
      <c r="A2" s="520" t="s">
        <v>2877</v>
      </c>
      <c r="B2" s="521"/>
      <c r="C2" s="522"/>
      <c r="D2" s="523"/>
      <c r="E2" s="780" t="str">
        <f>"En "&amp;Coverpage!$I$15&amp;" de "&amp;Coverpage!$I$14&amp;" / El año fiscal termina en "&amp;Coverpage!$I$11&amp;" "&amp;Coverpage!$I$12</f>
        <v xml:space="preserve">En Billion de Colombian Pesos (COP) / El año fiscal termina en  </v>
      </c>
      <c r="F2" s="781"/>
      <c r="G2" s="781"/>
      <c r="H2" s="781"/>
      <c r="I2" s="781"/>
      <c r="J2" s="781"/>
      <c r="K2" s="781"/>
      <c r="L2" s="781"/>
      <c r="M2" s="781"/>
      <c r="N2" s="519"/>
      <c r="O2" s="695" t="s">
        <v>2732</v>
      </c>
      <c r="P2" s="223"/>
    </row>
    <row r="3" spans="1:16" ht="12" customHeight="1" x14ac:dyDescent="0.25">
      <c r="A3" s="524"/>
      <c r="B3" s="525"/>
      <c r="C3" s="526"/>
      <c r="D3" s="527"/>
      <c r="E3" s="528"/>
      <c r="F3" s="784" t="s">
        <v>2726</v>
      </c>
      <c r="G3" s="784"/>
      <c r="H3" s="529" t="str">
        <f>Reporting_Period_Code</f>
        <v>2016</v>
      </c>
      <c r="I3" s="529"/>
      <c r="J3" s="528"/>
      <c r="K3" s="528"/>
      <c r="L3" s="530"/>
      <c r="M3" s="790" t="s">
        <v>2723</v>
      </c>
      <c r="N3" s="531"/>
      <c r="O3" s="168"/>
      <c r="P3" s="168"/>
    </row>
    <row r="4" spans="1:16" ht="12" customHeight="1" x14ac:dyDescent="0.2">
      <c r="A4" s="785" t="s">
        <v>2876</v>
      </c>
      <c r="B4" s="786"/>
      <c r="C4" s="532"/>
      <c r="D4" s="787" t="s">
        <v>2727</v>
      </c>
      <c r="E4" s="788"/>
      <c r="F4" s="788"/>
      <c r="G4" s="789"/>
      <c r="H4" s="790" t="s">
        <v>2719</v>
      </c>
      <c r="I4" s="790" t="s">
        <v>2720</v>
      </c>
      <c r="J4" s="792" t="s">
        <v>2721</v>
      </c>
      <c r="K4" s="790" t="s">
        <v>2728</v>
      </c>
      <c r="L4" s="793" t="s">
        <v>2722</v>
      </c>
      <c r="M4" s="791"/>
      <c r="N4" s="531"/>
      <c r="O4" s="778" t="s">
        <v>2733</v>
      </c>
      <c r="P4" s="779"/>
    </row>
    <row r="5" spans="1:16" ht="30" customHeight="1" x14ac:dyDescent="0.2">
      <c r="A5" s="785"/>
      <c r="B5" s="786"/>
      <c r="C5" s="532"/>
      <c r="D5" s="711" t="s">
        <v>2729</v>
      </c>
      <c r="E5" s="712" t="s">
        <v>2813</v>
      </c>
      <c r="F5" s="712" t="s">
        <v>2728</v>
      </c>
      <c r="G5" s="713" t="s">
        <v>2718</v>
      </c>
      <c r="H5" s="791"/>
      <c r="I5" s="791"/>
      <c r="J5" s="792"/>
      <c r="K5" s="791"/>
      <c r="L5" s="793"/>
      <c r="M5" s="791"/>
      <c r="N5" s="531"/>
      <c r="O5" s="668" t="s">
        <v>2734</v>
      </c>
      <c r="P5" s="669" t="s">
        <v>2735</v>
      </c>
    </row>
    <row r="6" spans="1:16" ht="10.5" customHeight="1" x14ac:dyDescent="0.2">
      <c r="A6" s="536"/>
      <c r="B6" s="537"/>
      <c r="C6" s="537"/>
      <c r="D6" s="538" t="s">
        <v>632</v>
      </c>
      <c r="E6" s="539" t="s">
        <v>633</v>
      </c>
      <c r="F6" s="539" t="s">
        <v>155</v>
      </c>
      <c r="G6" s="540" t="s">
        <v>634</v>
      </c>
      <c r="H6" s="539" t="s">
        <v>635</v>
      </c>
      <c r="I6" s="539" t="s">
        <v>636</v>
      </c>
      <c r="J6" s="540" t="s">
        <v>637</v>
      </c>
      <c r="K6" s="539" t="s">
        <v>156</v>
      </c>
      <c r="L6" s="541" t="s">
        <v>638</v>
      </c>
      <c r="M6" s="541" t="s">
        <v>639</v>
      </c>
      <c r="N6" s="531"/>
      <c r="O6" s="171" t="s">
        <v>640</v>
      </c>
      <c r="P6" s="172" t="s">
        <v>641</v>
      </c>
    </row>
    <row r="7" spans="1:16" ht="13.5" x14ac:dyDescent="0.25">
      <c r="A7" s="594" t="s">
        <v>1408</v>
      </c>
      <c r="B7" s="595" t="s">
        <v>2860</v>
      </c>
      <c r="C7" s="586" t="s">
        <v>48</v>
      </c>
      <c r="D7" s="506">
        <f>IF(AND(Table6!E103="NP",Table6!E104="NP",Table6!E105="NP"),"NP",IF(OR(Table6!E103="NA",Table6!E104="NA",Table6!E105="NA"),"NA",IF(ISNUMBER(Table6!E103)*ISNUMBER(Table6!E104)*ISNUMBER(Table6!E105),Table6!E103+Table6!E104-Table6!E105,"")))</f>
        <v>-180768.52799999993</v>
      </c>
      <c r="E7" s="506">
        <f>IF(AND(Table6!F103="NP",Table6!F104="NP",Table6!F105="NP"),"NP",IF(OR(Table6!F103="NA",Table6!F104="NA",Table6!F105="NA"),"NA",IF(ISNUMBER(Table6!F103)*ISNUMBER(Table6!F104)*ISNUMBER(Table6!F105),Table6!F103+Table6!F104-Table6!F105,"")))</f>
        <v>50676.808000000005</v>
      </c>
      <c r="F7" s="506">
        <f>IF(AND(Table6!G103="NP",Table6!G104="NP",Table6!G105="NP"),"NP",IF(OR(Table6!G103="NA",Table6!G104="NA",Table6!G105="NA"),"NA",IF(ISNUMBER(Table6!G103)*ISNUMBER(Table6!G104)*ISNUMBER(Table6!G105),Table6!G103+Table6!G104-Table6!G105,"")))</f>
        <v>0</v>
      </c>
      <c r="G7" s="506">
        <f>IF(AND(Table6!H103="NP",Table6!H104="NP",Table6!H105="NP"),"NP",IF(OR(Table6!H103="NA",Table6!H104="NA",Table6!H105="NA"),"NA",IF(ISNUMBER(Table6!H103)*ISNUMBER(Table6!H104)*ISNUMBER(Table6!H105),Table6!H103+Table6!H104-Table6!H105,"")))</f>
        <v>-130091.71999999997</v>
      </c>
      <c r="H7" s="506">
        <f>IF(AND(Table6!I103="NP",Table6!I104="NP",Table6!I105="NP"),"NP",IF(OR(Table6!I103="NA",Table6!I104="NA",Table6!I105="NA"),"NA",IF(ISNUMBER(Table6!I103)*ISNUMBER(Table6!I104)*ISNUMBER(Table6!I105),Table6!I103+Table6!I104-Table6!I105,"")))</f>
        <v>7984.724000000002</v>
      </c>
      <c r="I7" s="506">
        <f>IF(AND(Table6!J103="NP",Table6!J104="NP",Table6!J105="NP"),"NP",IF(OR(Table6!J103="NA",Table6!J104="NA",Table6!J105="NA"),"NA",IF(ISNUMBER(Table6!J103)*ISNUMBER(Table6!J104)*ISNUMBER(Table6!J105),Table6!J103+Table6!J104-Table6!J105,"")))</f>
        <v>36056.962999999996</v>
      </c>
      <c r="J7" s="506">
        <f>IF(AND(Table6!K103="NP",Table6!K104="NP",Table6!K105="NP"),"NP",IF(OR(Table6!K103="NA",Table6!K104="NA",Table6!K105="NA"),"NA",IF(ISNUMBER(Table6!K103)*ISNUMBER(Table6!K104)*ISNUMBER(Table6!K105),Table6!K103+Table6!K104-Table6!K105,"")))</f>
        <v>134981.07400000002</v>
      </c>
      <c r="K7" s="506">
        <f>IF(AND(Table6!L103="NP",Table6!L104="NP",Table6!L105="NP"),"NP",IF(OR(Table6!L103="NA",Table6!L104="NA",Table6!L105="NA"),"NA",IF(ISNUMBER(Table6!L103)*ISNUMBER(Table6!L104)*ISNUMBER(Table6!L105),Table6!L103+Table6!L104-Table6!L105,"")))</f>
        <v>0</v>
      </c>
      <c r="L7" s="506">
        <f>IF(AND(Table6!M103="NP",Table6!M104="NP",Table6!M105="NP"),"NP",IF(OR(Table6!M103="NA",Table6!M104="NA",Table6!M105="NA"),"NA",IF(ISNUMBER(Table6!M103)*ISNUMBER(Table6!M104)*ISNUMBER(Table6!M105),Table6!M103+Table6!M104-Table6!M105,"")))</f>
        <v>48931.041000000085</v>
      </c>
      <c r="M7" s="506">
        <f>IF(AND(Table6!N103="NP",Table6!N104="NP",Table6!N105="NP"),"NP",IF(OR(Table6!N103="NA",Table6!N104="NA",Table6!N105="NA"),"NA",IF(ISNUMBER(Table6!N103)*ISNUMBER(Table6!N104)*ISNUMBER(Table6!N105),Table6!N103+Table6!N104-Table6!N105,"")))</f>
        <v>-122106.99599999993</v>
      </c>
      <c r="N7" s="581"/>
      <c r="O7" s="237">
        <f>IF(OR(G7="NA",D7="NA",E7="NA",F7="NA"),"NA",SUM(G7)-SUM(D7:F7))</f>
        <v>-4.3655745685100555E-11</v>
      </c>
      <c r="P7" s="238">
        <f>IF(OR(L7="NA",G7="NA",H7="NA",I7="NA",J7="NA",K7="NA"),"NA",SUM(L7)-SUM(G7:K7))</f>
        <v>2.9103830456733704E-11</v>
      </c>
    </row>
    <row r="8" spans="1:16" x14ac:dyDescent="0.2">
      <c r="A8" s="592" t="s">
        <v>990</v>
      </c>
      <c r="B8" s="542" t="s">
        <v>2736</v>
      </c>
      <c r="C8" s="532" t="s">
        <v>48</v>
      </c>
      <c r="D8" s="543"/>
      <c r="E8" s="543"/>
      <c r="F8" s="543"/>
      <c r="G8" s="544"/>
      <c r="H8" s="543"/>
      <c r="I8" s="543"/>
      <c r="J8" s="544"/>
      <c r="K8" s="543"/>
      <c r="L8" s="545"/>
      <c r="M8" s="543"/>
      <c r="N8" s="581"/>
      <c r="O8" s="178"/>
      <c r="P8" s="179"/>
    </row>
    <row r="9" spans="1:16" x14ac:dyDescent="0.2">
      <c r="A9" s="549" t="s">
        <v>57</v>
      </c>
      <c r="B9" s="532" t="s">
        <v>2861</v>
      </c>
      <c r="C9" s="532" t="s">
        <v>48</v>
      </c>
      <c r="D9" s="479">
        <f>+IF(ISBLANK(Table1!E8),"",Table1!E8)</f>
        <v>173439.89350200002</v>
      </c>
      <c r="E9" s="479">
        <f>+IF(ISBLANK(Table1!F8),"",Table1!F8)</f>
        <v>4702.7162149999995</v>
      </c>
      <c r="F9" s="479">
        <f>+IF(ISBLANK(Table1!G8),"",Table1!G8)</f>
        <v>-3092.7434559999992</v>
      </c>
      <c r="G9" s="479">
        <f>+IF(ISBLANK(Table1!H8),"",Table1!H8)</f>
        <v>175049.90018200001</v>
      </c>
      <c r="H9" s="479">
        <f>+IF(ISBLANK(Table1!I8),"",Table1!I8)</f>
        <v>3491.5217659999989</v>
      </c>
      <c r="I9" s="479">
        <f>+IF(ISBLANK(Table1!J8),"",Table1!J8)</f>
        <v>30293.641395999999</v>
      </c>
      <c r="J9" s="479">
        <f>+IF(ISBLANK(Table1!K8),"",Table1!K8)</f>
        <v>67712.795551999996</v>
      </c>
      <c r="K9" s="479">
        <f>+IF(ISBLANK(Table1!L8),"",Table1!L8)</f>
        <v>-56116.724443999992</v>
      </c>
      <c r="L9" s="505">
        <f>+IF(ISBLANK(Table1!M8),"",Table1!M8)</f>
        <v>220431.13445199997</v>
      </c>
      <c r="M9" s="479">
        <f>+IF(ISBLANK(Table1!N8),"",Table1!N8)</f>
        <v>178541.421948</v>
      </c>
      <c r="N9" s="581"/>
      <c r="O9" s="178">
        <f>IF(OR(G9="NA",D9="NA",E9="NA",F9="NA"),"NA",SUM(G9)-SUM(D9:F9))</f>
        <v>3.3920999994734302E-2</v>
      </c>
      <c r="P9" s="179">
        <f>IF(OR(L9="NA",G9="NA",H9="NA",I9="NA",J9="NA",K9="NA"),"NA",SUM(L9)-SUM(G9:K9))</f>
        <v>0</v>
      </c>
    </row>
    <row r="10" spans="1:16" x14ac:dyDescent="0.2">
      <c r="A10" s="551" t="s">
        <v>58</v>
      </c>
      <c r="B10" s="553" t="s">
        <v>2862</v>
      </c>
      <c r="C10" s="553" t="s">
        <v>48</v>
      </c>
      <c r="D10" s="499">
        <f>+IF(ISBLANK(Table2!E8),"",Table2!E8)</f>
        <v>214559.94608200001</v>
      </c>
      <c r="E10" s="499">
        <f>+IF(ISBLANK(Table2!F8),"",Table2!F8)</f>
        <v>4284.9701819999991</v>
      </c>
      <c r="F10" s="499">
        <f>+IF(ISBLANK(Table2!G8),"",Table2!G8)</f>
        <v>-3382.9422169999889</v>
      </c>
      <c r="G10" s="499">
        <f>+IF(ISBLANK(Table2!H8),"",Table2!H8)</f>
        <v>215461.974047</v>
      </c>
      <c r="H10" s="499">
        <f>+IF(ISBLANK(Table2!I8),"",Table2!I8)</f>
        <v>2740.9215799999997</v>
      </c>
      <c r="I10" s="499">
        <f>+IF(ISBLANK(Table2!J8),"",Table2!J8)</f>
        <v>26515.862986260134</v>
      </c>
      <c r="J10" s="499">
        <f>+IF(ISBLANK(Table2!K8),"",Table2!K8)</f>
        <v>60741.233942999999</v>
      </c>
      <c r="K10" s="499">
        <f>+IF(ISBLANK(Table2!L8),"",Table2!L8)</f>
        <v>-59207.460456000001</v>
      </c>
      <c r="L10" s="505">
        <f>+IF(ISBLANK(Table2!M8),"",Table2!M8)</f>
        <v>246252.53210026014</v>
      </c>
      <c r="M10" s="499">
        <f>+IF(ISBLANK(Table2!N8),"",Table2!N8)</f>
        <v>218202.89562699999</v>
      </c>
      <c r="N10" s="581"/>
      <c r="O10" s="178">
        <f>IF(OR(G10="NA",D10="NA",E10="NA",F10="NA"),"NA",SUM(G10)-SUM(D10:F10))</f>
        <v>0</v>
      </c>
      <c r="P10" s="179">
        <f>IF(OR(L10="NA",G10="NA",H10="NA",I10="NA",J10="NA",K10="NA"),"NA",SUM(L10)-SUM(G10:K10))</f>
        <v>5.8207660913467407E-11</v>
      </c>
    </row>
    <row r="11" spans="1:16" x14ac:dyDescent="0.2">
      <c r="A11" s="556" t="s">
        <v>37</v>
      </c>
      <c r="B11" s="557" t="s">
        <v>2751</v>
      </c>
      <c r="C11" s="558" t="s">
        <v>48</v>
      </c>
      <c r="D11" s="500">
        <f>IF(AND(D9="NP",D10="NP"),"NP",IF(OR(StatementI!D16="NA",StatementI!D16="NP"),"NA",IF(OR(D9="NA",D10="NA"),"NA",IF(ISNUMBER(D9)*ISNUMBER(D10),SUM(D9)-SUM(D10),""))))</f>
        <v>-41120.052579999989</v>
      </c>
      <c r="E11" s="500">
        <f>IF(AND(E9="NP",E10="NP"),"NP",IF(OR(StatementI!E16="NA",StatementI!E16="NP"),"NA",IF(OR(E9="NA",E10="NA"),"NA",IF(ISNUMBER(E9)*ISNUMBER(E10),SUM(E9)-SUM(E10),""))))</f>
        <v>417.74603300000035</v>
      </c>
      <c r="F11" s="500">
        <f>IF(AND(F9="NP",F10="NP"),"NP",IF(OR(StatementI!F16="NA",StatementI!F16="NP"),"NA",IF(OR(F9="NA",F10="NA"),"NA",IF(ISNUMBER(F9)*ISNUMBER(F10),SUM(F9)-SUM(F10),""))))</f>
        <v>290.19876099998964</v>
      </c>
      <c r="G11" s="500">
        <f>IF(AND(G9="NP",G10="NP"),"NP",IF(OR(StatementI!G16="NA",StatementI!G16="NP"),"NA",IF(OR(G9="NA",G10="NA"),"NA",IF(ISNUMBER(G9)*ISNUMBER(G10),SUM(G9)-SUM(G10),""))))</f>
        <v>-40412.073864999984</v>
      </c>
      <c r="H11" s="500">
        <f>IF(AND(H9="NP",H10="NP"),"NP",IF(OR(StatementI!H16="NA",StatementI!H16="NP"),"NA",IF(OR(H9="NA",H10="NA"),"NA",IF(ISNUMBER(H9)*ISNUMBER(H10),SUM(H9)-SUM(H10),""))))</f>
        <v>750.60018599999921</v>
      </c>
      <c r="I11" s="500">
        <f>IF(AND(I9="NP",I10="NP"),"NP",IF(OR(StatementI!I16="NA",StatementI!I16="NP"),"NA",IF(OR(I9="NA",I10="NA"),"NA",IF(ISNUMBER(I9)*ISNUMBER(I10),SUM(I9)-SUM(I10),""))))</f>
        <v>3777.7784097398653</v>
      </c>
      <c r="J11" s="500">
        <f>IF(AND(J9="NP",J10="NP"),"NP",IF(OR(StatementI!J16="NA",StatementI!J16="NP"),"NA",IF(OR(J9="NA",J10="NA"),"NA",IF(ISNUMBER(J9)*ISNUMBER(J10),SUM(J9)-SUM(J10),""))))</f>
        <v>6971.5616089999967</v>
      </c>
      <c r="K11" s="500">
        <f>IF(AND(K9="NP",K10="NP"),"NP",IF(OR(StatementI!K16="NA",StatementI!K16="NP"),"NA",IF(OR(K9="NA",K10="NA"),"NA",IF(ISNUMBER(K9)*ISNUMBER(K10),SUM(K9)-SUM(K10),""))))</f>
        <v>3090.7360120000085</v>
      </c>
      <c r="L11" s="500">
        <f>IF(AND(L9="NP",L10="NP"),"NP",IF(OR(StatementI!L16="NA",StatementI!L16="NP"),"NA",IF(OR(L9="NA",L10="NA"),"NA",IF(ISNUMBER(L9)*ISNUMBER(L10),SUM(L9)-SUM(L10),""))))</f>
        <v>-25821.397648260172</v>
      </c>
      <c r="M11" s="500">
        <f>IF(AND(M9="NP",M10="NP"),"NP",IF(OR(StatementI!M16="NA",StatementI!M16="NP"),"NA",IF(OR(M9="NA",M10="NA"),"NA",IF(ISNUMBER(M9)*ISNUMBER(M10),SUM(M9)-SUM(M10),""))))</f>
        <v>-39661.473678999988</v>
      </c>
      <c r="N11" s="581"/>
      <c r="O11" s="183">
        <f>IF(OR(G11="NA",D11="NA",E11="NA",F11="NA"),"NA",SUM(G11)-SUM(D11:F11))</f>
        <v>3.3921000009286217E-2</v>
      </c>
      <c r="P11" s="184">
        <f>IF(OR(L11="NA",G11="NA",H11="NA",I11="NA",J11="NA",K11="NA"),"NA",SUM(L11)-SUM(G11:K11))</f>
        <v>-5.8207660913467407E-11</v>
      </c>
    </row>
    <row r="12" spans="1:16" ht="20.25" x14ac:dyDescent="0.2">
      <c r="A12" s="592" t="s">
        <v>990</v>
      </c>
      <c r="B12" s="596" t="s">
        <v>2863</v>
      </c>
      <c r="C12" s="532" t="s">
        <v>48</v>
      </c>
      <c r="D12" s="543"/>
      <c r="E12" s="543"/>
      <c r="F12" s="543"/>
      <c r="G12" s="544"/>
      <c r="H12" s="543"/>
      <c r="I12" s="543"/>
      <c r="J12" s="543"/>
      <c r="K12" s="543"/>
      <c r="L12" s="545"/>
      <c r="M12" s="543"/>
      <c r="N12" s="581"/>
      <c r="O12" s="178"/>
      <c r="P12" s="179"/>
    </row>
    <row r="13" spans="1:16" x14ac:dyDescent="0.2">
      <c r="A13" s="547" t="s">
        <v>174</v>
      </c>
      <c r="B13" s="548" t="s">
        <v>2864</v>
      </c>
      <c r="C13" s="532" t="s">
        <v>48</v>
      </c>
      <c r="D13" s="479">
        <f>+IF(ISBLANK(Table9!E9),"",Table9!E9)</f>
        <v>3748.3460230000001</v>
      </c>
      <c r="E13" s="479">
        <f>+IF(ISBLANK(Table9!F9),"",Table9!F9)</f>
        <v>512.27376700000002</v>
      </c>
      <c r="F13" s="479">
        <f>+IF(ISBLANK(Table9!G9),"",Table9!G9)</f>
        <v>0</v>
      </c>
      <c r="G13" s="479">
        <f>+IF(ISBLANK(Table9!H9),"",Table9!H9)</f>
        <v>4260.6197899999997</v>
      </c>
      <c r="H13" s="479">
        <f>+IF(ISBLANK(Table9!I9),"",Table9!I9)</f>
        <v>-466.00256999999999</v>
      </c>
      <c r="I13" s="479">
        <f>+IF(ISBLANK(Table9!J9),"",Table9!J9)</f>
        <v>145.30553200000006</v>
      </c>
      <c r="J13" s="479">
        <f>+IF(ISBLANK(Table9!K9),"",Table9!K9)</f>
        <v>1616.9324259999999</v>
      </c>
      <c r="K13" s="479">
        <f>+IF(ISBLANK(Table9!L9),"",Table9!L9)</f>
        <v>0</v>
      </c>
      <c r="L13" s="479">
        <f>+IF(ISBLANK(Table9!M9),"",Table9!M9)</f>
        <v>5556.8551779999998</v>
      </c>
      <c r="M13" s="479">
        <f>+IF(ISBLANK(Table9!N9),"",Table9!N9)</f>
        <v>3794.6172199999996</v>
      </c>
      <c r="N13" s="581"/>
      <c r="O13" s="178">
        <f t="shared" ref="O13:O25" si="0">IF(OR(G13="NA",D13="NA",E13="NA",F13="NA"),"NA",SUM(G13)-SUM(D13:F13))</f>
        <v>0</v>
      </c>
      <c r="P13" s="179">
        <f t="shared" ref="P13:P25" si="1">IF(OR(L13="NA",G13="NA",H13="NA",I13="NA",J13="NA",K13="NA"),"NA",SUM(L13)-SUM(G13:K13))</f>
        <v>0</v>
      </c>
    </row>
    <row r="14" spans="1:16" x14ac:dyDescent="0.2">
      <c r="A14" s="549" t="s">
        <v>163</v>
      </c>
      <c r="B14" s="550" t="s">
        <v>2865</v>
      </c>
      <c r="C14" s="532" t="s">
        <v>48</v>
      </c>
      <c r="D14" s="479">
        <f>+IF(ISBLANK(Table4!E9),"",Table4!E9)</f>
        <v>-159.86496999999986</v>
      </c>
      <c r="E14" s="479">
        <f>+IF(ISBLANK(Table4!F9),"",Table4!F9)</f>
        <v>479.44810100000001</v>
      </c>
      <c r="F14" s="479">
        <f>+IF(ISBLANK(Table4!G9),"",Table4!G9)</f>
        <v>0</v>
      </c>
      <c r="G14" s="479">
        <f>+IF(ISBLANK(Table4!H9),"",Table4!H9)</f>
        <v>319.58313100000015</v>
      </c>
      <c r="H14" s="479">
        <f>+IF(ISBLANK(Table4!I9),"",Table4!I9)</f>
        <v>-470.249886</v>
      </c>
      <c r="I14" s="479">
        <f>+IF(ISBLANK(Table4!J9),"",Table4!J9)</f>
        <v>127.23187100000007</v>
      </c>
      <c r="J14" s="479">
        <f>+IF(ISBLANK(Table4!K9),"",Table4!K9)</f>
        <v>1510.0230569999999</v>
      </c>
      <c r="K14" s="479">
        <f>+IF(ISBLANK(Table4!L9),"",Table4!L9)</f>
        <v>0</v>
      </c>
      <c r="L14" s="479">
        <f>+IF(ISBLANK(Table4!M9),"",Table4!M9)</f>
        <v>1486.5881730000001</v>
      </c>
      <c r="M14" s="479">
        <f>+IF(ISBLANK(Table4!N9),"",Table4!N9)</f>
        <v>-150.66675499999985</v>
      </c>
      <c r="N14" s="581"/>
      <c r="O14" s="178">
        <f t="shared" si="0"/>
        <v>0</v>
      </c>
      <c r="P14" s="179">
        <f t="shared" si="1"/>
        <v>0</v>
      </c>
    </row>
    <row r="15" spans="1:16" x14ac:dyDescent="0.2">
      <c r="A15" s="549" t="s">
        <v>166</v>
      </c>
      <c r="B15" s="550" t="s">
        <v>2866</v>
      </c>
      <c r="C15" s="532" t="s">
        <v>48</v>
      </c>
      <c r="D15" s="479">
        <f>+IF(ISBLANK(Table5!E9),"",Table5!E9)</f>
        <v>3908.2109930000001</v>
      </c>
      <c r="E15" s="479">
        <f>+IF(ISBLANK(Table5!F9),"",Table5!F9)</f>
        <v>32.825665999999998</v>
      </c>
      <c r="F15" s="479">
        <f>+IF(ISBLANK(Table5!G9),"",Table5!G9)</f>
        <v>0</v>
      </c>
      <c r="G15" s="479">
        <f>+IF(ISBLANK(Table5!H9),"",Table5!H9)</f>
        <v>3941.0366590000003</v>
      </c>
      <c r="H15" s="479">
        <f>+IF(ISBLANK(Table5!I9),"",Table5!I9)</f>
        <v>4.2473159999999996</v>
      </c>
      <c r="I15" s="479">
        <f>+IF(ISBLANK(Table5!J9),"",Table5!J9)</f>
        <v>18.073660999999998</v>
      </c>
      <c r="J15" s="479">
        <f>+IF(ISBLANK(Table5!K9),"",Table5!K9)</f>
        <v>106.909369</v>
      </c>
      <c r="K15" s="479">
        <f>+IF(ISBLANK(Table5!L9),"",Table5!L9)</f>
        <v>0</v>
      </c>
      <c r="L15" s="479">
        <f>+IF(ISBLANK(Table5!M9),"",Table5!M9)</f>
        <v>4070.2670050000002</v>
      </c>
      <c r="M15" s="479">
        <f>+IF(ISBLANK(Table5!N9),"",Table5!N9)</f>
        <v>3945.2839750000003</v>
      </c>
      <c r="N15" s="581"/>
      <c r="O15" s="178">
        <f t="shared" si="0"/>
        <v>0</v>
      </c>
      <c r="P15" s="179">
        <f t="shared" si="1"/>
        <v>0</v>
      </c>
    </row>
    <row r="16" spans="1:16" x14ac:dyDescent="0.2">
      <c r="A16" s="547" t="s">
        <v>1373</v>
      </c>
      <c r="B16" s="548" t="s">
        <v>2867</v>
      </c>
      <c r="C16" s="532" t="s">
        <v>48</v>
      </c>
      <c r="D16" s="479">
        <f>+IF(ISBLANK(Table9!E14),"",Table9!E14)</f>
        <v>-16280.126593000001</v>
      </c>
      <c r="E16" s="479">
        <f>+IF(ISBLANK(Table9!F14),"",Table9!F14)</f>
        <v>-285.42622799999998</v>
      </c>
      <c r="F16" s="479">
        <f>+IF(ISBLANK(Table9!G14),"",Table9!G14)</f>
        <v>0</v>
      </c>
      <c r="G16" s="479">
        <f>+IF(ISBLANK(Table9!H14),"",Table9!H14)</f>
        <v>-16565.552821000001</v>
      </c>
      <c r="H16" s="479">
        <f>+IF(ISBLANK(Table9!I14),"",Table9!I14)</f>
        <v>681.23568599999999</v>
      </c>
      <c r="I16" s="479">
        <f>+IF(ISBLANK(Table9!J14),"",Table9!J14)</f>
        <v>526.47705200000007</v>
      </c>
      <c r="J16" s="479">
        <f>+IF(ISBLANK(Table9!K14),"",Table9!K14)</f>
        <v>-3252.1584729999995</v>
      </c>
      <c r="K16" s="479">
        <f>+IF(ISBLANK(Table9!L14),"",Table9!L14)</f>
        <v>0</v>
      </c>
      <c r="L16" s="479">
        <f>+IF(ISBLANK(Table9!M14),"",Table9!M14)</f>
        <v>-18609.998555999999</v>
      </c>
      <c r="M16" s="479">
        <f>+IF(ISBLANK(Table9!N14),"",Table9!N14)</f>
        <v>-15884.317135000001</v>
      </c>
      <c r="N16" s="581"/>
      <c r="O16" s="178">
        <f t="shared" si="0"/>
        <v>0</v>
      </c>
      <c r="P16" s="179">
        <f t="shared" si="1"/>
        <v>0</v>
      </c>
    </row>
    <row r="17" spans="1:16" x14ac:dyDescent="0.2">
      <c r="A17" s="549" t="s">
        <v>1159</v>
      </c>
      <c r="B17" s="550" t="s">
        <v>2868</v>
      </c>
      <c r="C17" s="532" t="s">
        <v>48</v>
      </c>
      <c r="D17" s="479">
        <f>+IF(ISBLANK(Table4!E14),"",Table4!E14)</f>
        <v>-13538.240275</v>
      </c>
      <c r="E17" s="479">
        <f>+IF(ISBLANK(Table4!F14),"",Table4!F14)</f>
        <v>-206.71934999999999</v>
      </c>
      <c r="F17" s="479">
        <f>+IF(ISBLANK(Table4!G14),"",Table4!G14)</f>
        <v>0</v>
      </c>
      <c r="G17" s="479">
        <f>+IF(ISBLANK(Table4!H14),"",Table4!H14)</f>
        <v>-13744.959625</v>
      </c>
      <c r="H17" s="479">
        <f>+IF(ISBLANK(Table4!I14),"",Table4!I14)</f>
        <v>-59.984735000000001</v>
      </c>
      <c r="I17" s="479">
        <f>+IF(ISBLANK(Table4!J14),"",Table4!J14)</f>
        <v>-170.03571600000001</v>
      </c>
      <c r="J17" s="479">
        <f>+IF(ISBLANK(Table4!K14),"",Table4!K14)</f>
        <v>-900.63785600000006</v>
      </c>
      <c r="K17" s="479">
        <f>+IF(ISBLANK(Table4!L14),"",Table4!L14)</f>
        <v>0</v>
      </c>
      <c r="L17" s="479">
        <f>+IF(ISBLANK(Table4!M14),"",Table4!M14)</f>
        <v>-14875.617931999999</v>
      </c>
      <c r="M17" s="479">
        <f>+IF(ISBLANK(Table4!N14),"",Table4!N14)</f>
        <v>-13804.94436</v>
      </c>
      <c r="N17" s="581"/>
      <c r="O17" s="178">
        <f t="shared" si="0"/>
        <v>0</v>
      </c>
      <c r="P17" s="179">
        <f t="shared" si="1"/>
        <v>0</v>
      </c>
    </row>
    <row r="18" spans="1:16" x14ac:dyDescent="0.2">
      <c r="A18" s="549" t="s">
        <v>1184</v>
      </c>
      <c r="B18" s="550" t="s">
        <v>2869</v>
      </c>
      <c r="C18" s="532" t="s">
        <v>48</v>
      </c>
      <c r="D18" s="479">
        <f>+IF(ISBLANK(Table5!E14),"",Table5!E14)</f>
        <v>-2741.8863179999998</v>
      </c>
      <c r="E18" s="479">
        <f>+IF(ISBLANK(Table5!F14),"",Table5!F14)</f>
        <v>-78.706877999999989</v>
      </c>
      <c r="F18" s="479">
        <f>+IF(ISBLANK(Table5!G14),"",Table5!G14)</f>
        <v>0</v>
      </c>
      <c r="G18" s="479">
        <f>+IF(ISBLANK(Table5!H14),"",Table5!H14)</f>
        <v>-2820.5931959999998</v>
      </c>
      <c r="H18" s="479">
        <f>+IF(ISBLANK(Table5!I14),"",Table5!I14)</f>
        <v>741.22042099999999</v>
      </c>
      <c r="I18" s="479">
        <f>+IF(ISBLANK(Table5!J14),"",Table5!J14)</f>
        <v>696.51276800000005</v>
      </c>
      <c r="J18" s="479">
        <f>+IF(ISBLANK(Table5!K14),"",Table5!K14)</f>
        <v>-2351.5206169999997</v>
      </c>
      <c r="K18" s="479">
        <f>+IF(ISBLANK(Table5!L14),"",Table5!L14)</f>
        <v>0</v>
      </c>
      <c r="L18" s="479">
        <f>+IF(ISBLANK(Table5!M14),"",Table5!M14)</f>
        <v>-3734.3806239999994</v>
      </c>
      <c r="M18" s="479">
        <f>+IF(ISBLANK(Table5!N14),"",Table5!N14)</f>
        <v>-2079.3727749999998</v>
      </c>
      <c r="N18" s="581"/>
      <c r="O18" s="178">
        <f t="shared" si="0"/>
        <v>0</v>
      </c>
      <c r="P18" s="179">
        <f t="shared" si="1"/>
        <v>0</v>
      </c>
    </row>
    <row r="19" spans="1:16" x14ac:dyDescent="0.2">
      <c r="A19" s="547" t="s">
        <v>1383</v>
      </c>
      <c r="B19" s="548" t="s">
        <v>2870</v>
      </c>
      <c r="C19" s="532" t="s">
        <v>48</v>
      </c>
      <c r="D19" s="479">
        <f>+IF(ISBLANK(Table9!E25),"",Table9!E25)</f>
        <v>-4402.0775080000067</v>
      </c>
      <c r="E19" s="479">
        <f>+IF(ISBLANK(Table9!F25),"",Table9!F25)</f>
        <v>-350.75179600000001</v>
      </c>
      <c r="F19" s="479">
        <f>+IF(ISBLANK(Table9!G25),"",Table9!G25)</f>
        <v>0</v>
      </c>
      <c r="G19" s="479">
        <f>+IF(ISBLANK(Table9!H25),"",Table9!H25)</f>
        <v>-4752.8293040000062</v>
      </c>
      <c r="H19" s="479">
        <f>+IF(ISBLANK(Table9!I25),"",Table9!I25)</f>
        <v>-283.87622399999998</v>
      </c>
      <c r="I19" s="479">
        <f>+IF(ISBLANK(Table9!J25),"",Table9!J25)</f>
        <v>-1607.442174</v>
      </c>
      <c r="J19" s="479">
        <f>+IF(ISBLANK(Table9!K25),"",Table9!K25)</f>
        <v>-645.13236599999993</v>
      </c>
      <c r="K19" s="479">
        <f>+IF(ISBLANK(Table9!L25),"",Table9!L25)</f>
        <v>0</v>
      </c>
      <c r="L19" s="479">
        <f>+IF(ISBLANK(Table9!M25),"",Table9!M25)</f>
        <v>-7289.2800680000055</v>
      </c>
      <c r="M19" s="479">
        <f>+IF(ISBLANK(Table9!N25),"",Table9!N25)</f>
        <v>-5036.7055280000059</v>
      </c>
      <c r="N19" s="581"/>
      <c r="O19" s="178">
        <f t="shared" si="0"/>
        <v>0</v>
      </c>
      <c r="P19" s="179">
        <f t="shared" si="1"/>
        <v>0</v>
      </c>
    </row>
    <row r="20" spans="1:16" x14ac:dyDescent="0.2">
      <c r="A20" s="549" t="s">
        <v>1169</v>
      </c>
      <c r="B20" s="550" t="s">
        <v>2868</v>
      </c>
      <c r="C20" s="532" t="s">
        <v>48</v>
      </c>
      <c r="D20" s="479">
        <f>+IF(ISBLANK(Table4!E25),"",Table4!E25)</f>
        <v>1674.7486689999944</v>
      </c>
      <c r="E20" s="479">
        <f>+IF(ISBLANK(Table4!F25),"",Table4!F25)</f>
        <v>-19.665731000000001</v>
      </c>
      <c r="F20" s="479">
        <f>+IF(ISBLANK(Table4!G25),"",Table4!G25)</f>
        <v>0</v>
      </c>
      <c r="G20" s="479">
        <f>+IF(ISBLANK(Table4!H25),"",Table4!H25)</f>
        <v>1655.0829379999943</v>
      </c>
      <c r="H20" s="479">
        <f>+IF(ISBLANK(Table4!I25),"",Table4!I25)</f>
        <v>0</v>
      </c>
      <c r="I20" s="479">
        <f>+IF(ISBLANK(Table4!J25),"",Table4!J25)</f>
        <v>-59.827561999999993</v>
      </c>
      <c r="J20" s="479">
        <f>+IF(ISBLANK(Table4!K25),"",Table4!K25)</f>
        <v>69.775817000000004</v>
      </c>
      <c r="K20" s="479">
        <f>+IF(ISBLANK(Table4!L25),"",Table4!L25)</f>
        <v>0</v>
      </c>
      <c r="L20" s="479">
        <f>+IF(ISBLANK(Table4!M25),"",Table4!M25)</f>
        <v>1665.0311929999943</v>
      </c>
      <c r="M20" s="479">
        <f>+IF(ISBLANK(Table4!N25),"",Table4!N25)</f>
        <v>1655.0829379999943</v>
      </c>
      <c r="N20" s="581"/>
      <c r="O20" s="178">
        <f t="shared" si="0"/>
        <v>0</v>
      </c>
      <c r="P20" s="179">
        <f t="shared" si="1"/>
        <v>0</v>
      </c>
    </row>
    <row r="21" spans="1:16" x14ac:dyDescent="0.2">
      <c r="A21" s="551" t="s">
        <v>1194</v>
      </c>
      <c r="B21" s="552" t="s">
        <v>2871</v>
      </c>
      <c r="C21" s="532" t="s">
        <v>48</v>
      </c>
      <c r="D21" s="479">
        <f>+IF(ISBLANK(Table5!E25),"",Table5!E25)</f>
        <v>-6076.8261770000008</v>
      </c>
      <c r="E21" s="479">
        <f>+IF(ISBLANK(Table5!F25),"",Table5!F25)</f>
        <v>-331.08606500000002</v>
      </c>
      <c r="F21" s="479">
        <f>+IF(ISBLANK(Table5!G25),"",Table5!G25)</f>
        <v>0</v>
      </c>
      <c r="G21" s="479">
        <f>+IF(ISBLANK(Table5!H25),"",Table5!H25)</f>
        <v>-6407.9122420000012</v>
      </c>
      <c r="H21" s="479">
        <f>+IF(ISBLANK(Table5!I25),"",Table5!I25)</f>
        <v>-283.87622399999998</v>
      </c>
      <c r="I21" s="479">
        <f>+IF(ISBLANK(Table5!J25),"",Table5!J25)</f>
        <v>-1547.6146120000001</v>
      </c>
      <c r="J21" s="479">
        <f>+IF(ISBLANK(Table5!K25),"",Table5!K25)</f>
        <v>-714.90818299999989</v>
      </c>
      <c r="K21" s="479">
        <f>+IF(ISBLANK(Table5!L25),"",Table5!L25)</f>
        <v>0</v>
      </c>
      <c r="L21" s="479">
        <f>+IF(ISBLANK(Table5!M25),"",Table5!M25)</f>
        <v>-8954.3112610000007</v>
      </c>
      <c r="M21" s="479">
        <f>+IF(ISBLANK(Table5!N25),"",Table5!N25)</f>
        <v>-6691.7884660000009</v>
      </c>
      <c r="N21" s="581"/>
      <c r="O21" s="181">
        <f t="shared" si="0"/>
        <v>0</v>
      </c>
      <c r="P21" s="182">
        <f t="shared" si="1"/>
        <v>0</v>
      </c>
    </row>
    <row r="22" spans="1:16" x14ac:dyDescent="0.2">
      <c r="A22" s="554" t="s">
        <v>12</v>
      </c>
      <c r="B22" s="555" t="s">
        <v>2872</v>
      </c>
      <c r="C22" s="532" t="s">
        <v>48</v>
      </c>
      <c r="D22" s="479">
        <f>+IF(ISBLANK(Table9!E8),"",Table9!E8)</f>
        <v>-8129.7030619999941</v>
      </c>
      <c r="E22" s="479">
        <f>+IF(ISBLANK(Table9!F8),"",Table9!F8)</f>
        <v>577.59933500000011</v>
      </c>
      <c r="F22" s="479">
        <f>+IF(ISBLANK(Table9!G8),"",Table9!G8)</f>
        <v>0</v>
      </c>
      <c r="G22" s="479">
        <f>+IF(ISBLANK(Table9!H8),"",Table9!H8)</f>
        <v>-7552.1037269999943</v>
      </c>
      <c r="H22" s="479">
        <f>+IF(ISBLANK(Table9!I8),"",Table9!I8)</f>
        <v>499.10933999999997</v>
      </c>
      <c r="I22" s="479">
        <f>+IF(ISBLANK(Table9!J8),"",Table9!J8)</f>
        <v>2279.2247580000003</v>
      </c>
      <c r="J22" s="479">
        <f>+IF(ISBLANK(Table9!K8),"",Table9!K8)</f>
        <v>-990.09368099999972</v>
      </c>
      <c r="K22" s="479">
        <f>+IF(ISBLANK(Table9!L8),"",Table9!L8)</f>
        <v>0</v>
      </c>
      <c r="L22" s="479">
        <f>+IF(ISBLANK(Table9!M8),"",Table9!M8)</f>
        <v>-5763.8633099999934</v>
      </c>
      <c r="M22" s="479">
        <f>+IF(ISBLANK(Table9!N8),"",Table9!N8)</f>
        <v>-7052.9943869999952</v>
      </c>
      <c r="N22" s="581"/>
      <c r="O22" s="246">
        <f t="shared" si="0"/>
        <v>0</v>
      </c>
      <c r="P22" s="247">
        <f t="shared" si="1"/>
        <v>0</v>
      </c>
    </row>
    <row r="23" spans="1:16" x14ac:dyDescent="0.2">
      <c r="A23" s="597" t="s">
        <v>670</v>
      </c>
      <c r="B23" s="598" t="s">
        <v>2873</v>
      </c>
      <c r="C23" s="566" t="s">
        <v>48</v>
      </c>
      <c r="D23" s="507">
        <f>IF(AND(D11="NP",D22="NP"),"NP",IF(OR(D11="NA",D22="NA"),"NA",IF(ISNUMBER(D11)*ISNUMBER(D22),SUM(D11)+SUM(D22),"")))</f>
        <v>-49249.755641999982</v>
      </c>
      <c r="E23" s="507">
        <f t="shared" ref="E23:M23" si="2">IF(AND(E11="NP",E22="NP"),"NP",IF(OR(E11="NA",E22="NA"),"NA",IF(ISNUMBER(E11)*ISNUMBER(E22),SUM(E11)+SUM(E22),"")))</f>
        <v>995.34536800000046</v>
      </c>
      <c r="F23" s="507">
        <f t="shared" si="2"/>
        <v>290.19876099998964</v>
      </c>
      <c r="G23" s="507">
        <f t="shared" si="2"/>
        <v>-47964.177591999978</v>
      </c>
      <c r="H23" s="507">
        <f t="shared" si="2"/>
        <v>1249.7095259999992</v>
      </c>
      <c r="I23" s="507">
        <f t="shared" si="2"/>
        <v>6057.0031677398656</v>
      </c>
      <c r="J23" s="507">
        <f t="shared" si="2"/>
        <v>5981.4679279999973</v>
      </c>
      <c r="K23" s="507">
        <f t="shared" si="2"/>
        <v>3090.7360120000085</v>
      </c>
      <c r="L23" s="507">
        <f t="shared" si="2"/>
        <v>-31585.260958260165</v>
      </c>
      <c r="M23" s="507">
        <f t="shared" si="2"/>
        <v>-46714.468065999987</v>
      </c>
      <c r="N23" s="581"/>
      <c r="O23" s="188">
        <f t="shared" si="0"/>
        <v>3.3921000009286217E-2</v>
      </c>
      <c r="P23" s="189">
        <f t="shared" si="1"/>
        <v>-5.8207660913467407E-11</v>
      </c>
    </row>
    <row r="24" spans="1:16" ht="13.5" x14ac:dyDescent="0.25">
      <c r="A24" s="599" t="s">
        <v>1409</v>
      </c>
      <c r="B24" s="600" t="s">
        <v>2874</v>
      </c>
      <c r="C24" s="553" t="s">
        <v>48</v>
      </c>
      <c r="D24" s="499">
        <f>+IF(ISBLANK(Table6!E8),"",Table6!E8)</f>
        <v>-254048.18784398795</v>
      </c>
      <c r="E24" s="499">
        <f>+IF(ISBLANK(Table6!F8),"",Table6!F8)</f>
        <v>8387.3260149999987</v>
      </c>
      <c r="F24" s="499">
        <f>+IF(ISBLANK(Table6!G8),"",Table6!G8)</f>
        <v>75.875814448023448</v>
      </c>
      <c r="G24" s="499">
        <f>+IF(ISBLANK(Table6!H8),"",Table6!H8)</f>
        <v>-245584.98601453996</v>
      </c>
      <c r="H24" s="499">
        <f>+IF(ISBLANK(Table6!I8),"",Table6!I8)</f>
        <v>17186.706318</v>
      </c>
      <c r="I24" s="499">
        <f>+IF(ISBLANK(Table6!J8),"",Table6!J8)</f>
        <v>73667.273959365004</v>
      </c>
      <c r="J24" s="499">
        <f>+IF(ISBLANK(Table6!K8),"",Table6!K8)</f>
        <v>214639.38295901997</v>
      </c>
      <c r="K24" s="499">
        <f>+IF(ISBLANK(Table6!L8),"",Table6!L8)</f>
        <v>115.11293325599399</v>
      </c>
      <c r="L24" s="505">
        <f>+IF(ISBLANK(Table6!M8),"",Table6!M8)</f>
        <v>60023.490155100939</v>
      </c>
      <c r="M24" s="499">
        <f>+IF(ISBLANK(Table6!N8),"",Table6!N8)</f>
        <v>-228398.27969654003</v>
      </c>
      <c r="N24" s="581"/>
      <c r="O24" s="246">
        <f t="shared" si="0"/>
        <v>-2.9103830456733704E-11</v>
      </c>
      <c r="P24" s="247">
        <f t="shared" si="1"/>
        <v>-8.7311491370201111E-11</v>
      </c>
    </row>
    <row r="25" spans="1:16" x14ac:dyDescent="0.2">
      <c r="A25" s="564" t="s">
        <v>672</v>
      </c>
      <c r="B25" s="565" t="s">
        <v>2875</v>
      </c>
      <c r="C25" s="566" t="s">
        <v>48</v>
      </c>
      <c r="D25" s="503">
        <f>IF(AND(D23="NP",D24="NP",D7="NP"),"NP",IF(OR(D23="NA",D24="NA",D7="NA"),"NA",IF(ISNUMBER(D23)*ISNUMBER(D24)*ISNUMBER(D7),SUM(D23)-SUM(D24)+SUM(D7),"")))</f>
        <v>24029.904201988043</v>
      </c>
      <c r="E25" s="503">
        <f>IF(AND(E23="NP",E24="NP",E7="NP"),"NP",IF(OR(E23="NA",E24="NA",E7="NA"),"NA",IF(ISNUMBER(E23)*ISNUMBER(E24)*ISNUMBER(E7),SUM(E23)-SUM(E24)+SUM(E7),"")))</f>
        <v>43284.827353000008</v>
      </c>
      <c r="F25" s="503">
        <f t="shared" ref="F25:M25" si="3">IF(AND(F23="NP",F24="NP",F7="NP"),"NP",IF(OR(F23="NA",F24="NA",F7="NA"),"NA",IF(ISNUMBER(F23)*ISNUMBER(F24)*ISNUMBER(F7),SUM(F23)-SUM(F24)+SUM(F7),"")))</f>
        <v>214.3229465519662</v>
      </c>
      <c r="G25" s="503">
        <f t="shared" si="3"/>
        <v>67529.088422539993</v>
      </c>
      <c r="H25" s="503">
        <f t="shared" si="3"/>
        <v>-7952.2727919999998</v>
      </c>
      <c r="I25" s="503">
        <f t="shared" si="3"/>
        <v>-31553.307791625142</v>
      </c>
      <c r="J25" s="503">
        <f t="shared" si="3"/>
        <v>-73676.841031019954</v>
      </c>
      <c r="K25" s="503">
        <f t="shared" si="3"/>
        <v>2975.6230787440145</v>
      </c>
      <c r="L25" s="503">
        <f t="shared" si="3"/>
        <v>-42677.710113361012</v>
      </c>
      <c r="M25" s="503">
        <f t="shared" si="3"/>
        <v>59576.815630540135</v>
      </c>
      <c r="N25" s="581"/>
      <c r="O25" s="186">
        <f t="shared" si="0"/>
        <v>3.3920999980182387E-2</v>
      </c>
      <c r="P25" s="187">
        <f t="shared" si="1"/>
        <v>8.0035533756017685E-11</v>
      </c>
    </row>
    <row r="26" spans="1:16" x14ac:dyDescent="0.2">
      <c r="A26" s="580"/>
      <c r="B26" s="531"/>
      <c r="C26" s="531"/>
      <c r="D26" s="581"/>
      <c r="E26" s="581"/>
      <c r="F26" s="581"/>
      <c r="G26" s="581"/>
      <c r="H26" s="581"/>
      <c r="I26" s="581"/>
      <c r="J26" s="581"/>
      <c r="K26" s="581"/>
      <c r="L26" s="581"/>
      <c r="M26" s="581"/>
      <c r="N26" s="581"/>
      <c r="O26" s="248"/>
      <c r="P26" s="248"/>
    </row>
    <row r="27" spans="1:16" s="193" customFormat="1" ht="15" customHeight="1" x14ac:dyDescent="0.2">
      <c r="A27" s="696" t="s">
        <v>2878</v>
      </c>
      <c r="B27" s="195"/>
      <c r="C27" s="195"/>
      <c r="D27" s="249"/>
      <c r="E27" s="239"/>
      <c r="F27" s="239"/>
      <c r="G27" s="239"/>
      <c r="H27" s="239"/>
      <c r="I27" s="239"/>
      <c r="J27" s="239"/>
      <c r="K27" s="239"/>
      <c r="L27" s="239"/>
      <c r="M27" s="240"/>
      <c r="N27" s="198"/>
      <c r="O27" s="199"/>
      <c r="P27" s="199"/>
    </row>
    <row r="28" spans="1:16" ht="10.5" customHeight="1" x14ac:dyDescent="0.2">
      <c r="A28" s="200" t="s">
        <v>2775</v>
      </c>
      <c r="B28" s="103"/>
      <c r="C28" s="103" t="s">
        <v>48</v>
      </c>
      <c r="D28" s="242"/>
      <c r="E28" s="250"/>
      <c r="F28" s="250"/>
      <c r="G28" s="250"/>
      <c r="H28" s="250"/>
      <c r="I28" s="250"/>
      <c r="J28" s="250"/>
      <c r="K28" s="250"/>
      <c r="L28" s="250"/>
      <c r="M28" s="250"/>
      <c r="N28" s="191"/>
      <c r="O28" s="248"/>
      <c r="P28" s="248"/>
    </row>
    <row r="29" spans="1:16" ht="10.5" customHeight="1" x14ac:dyDescent="0.2">
      <c r="A29" s="190"/>
      <c r="B29" s="103" t="s">
        <v>2642</v>
      </c>
      <c r="C29" s="103" t="s">
        <v>48</v>
      </c>
      <c r="D29" s="243">
        <f t="shared" ref="D29:M29" si="4">IF(OR(D24="NA",D7="NA",D23="NA",D25="NA"),"NA",SUM(D24)-SUM(D7)-SUM(D23)+SUM(D25))</f>
        <v>7.2759576141834259E-12</v>
      </c>
      <c r="E29" s="243">
        <f t="shared" si="4"/>
        <v>0</v>
      </c>
      <c r="F29" s="243">
        <f t="shared" si="4"/>
        <v>0</v>
      </c>
      <c r="G29" s="243">
        <f t="shared" si="4"/>
        <v>-1.4551915228366852E-11</v>
      </c>
      <c r="H29" s="243">
        <f t="shared" si="4"/>
        <v>0</v>
      </c>
      <c r="I29" s="243">
        <f t="shared" si="4"/>
        <v>0</v>
      </c>
      <c r="J29" s="243">
        <f t="shared" si="4"/>
        <v>0</v>
      </c>
      <c r="K29" s="243">
        <f t="shared" si="4"/>
        <v>0</v>
      </c>
      <c r="L29" s="243">
        <f t="shared" si="4"/>
        <v>7.2759576141834259E-12</v>
      </c>
      <c r="M29" s="243">
        <f t="shared" si="4"/>
        <v>1.4551915228366852E-11</v>
      </c>
      <c r="N29" s="191"/>
      <c r="O29" s="248"/>
      <c r="P29" s="248"/>
    </row>
    <row r="30" spans="1:16" ht="10.5" customHeight="1" x14ac:dyDescent="0.2">
      <c r="A30" s="190"/>
      <c r="B30" s="103" t="s">
        <v>709</v>
      </c>
      <c r="C30" s="103" t="s">
        <v>48</v>
      </c>
      <c r="D30" s="243">
        <f t="shared" ref="D30:M30" si="5">IF(OR(D11="NA",D9="NA",D10="NA"),"NA",-SUM(D11)+SUM(D9)-SUM(D10))</f>
        <v>0</v>
      </c>
      <c r="E30" s="243">
        <f t="shared" si="5"/>
        <v>0</v>
      </c>
      <c r="F30" s="243">
        <f t="shared" si="5"/>
        <v>0</v>
      </c>
      <c r="G30" s="243">
        <f t="shared" si="5"/>
        <v>0</v>
      </c>
      <c r="H30" s="243">
        <f t="shared" si="5"/>
        <v>0</v>
      </c>
      <c r="I30" s="243">
        <f t="shared" si="5"/>
        <v>0</v>
      </c>
      <c r="J30" s="243">
        <f t="shared" si="5"/>
        <v>0</v>
      </c>
      <c r="K30" s="243">
        <f t="shared" si="5"/>
        <v>0</v>
      </c>
      <c r="L30" s="243">
        <f t="shared" si="5"/>
        <v>0</v>
      </c>
      <c r="M30" s="243">
        <f t="shared" si="5"/>
        <v>0</v>
      </c>
      <c r="N30" s="191"/>
      <c r="O30" s="248"/>
      <c r="P30" s="248"/>
    </row>
    <row r="31" spans="1:16" ht="10.5" customHeight="1" x14ac:dyDescent="0.2">
      <c r="A31" s="233"/>
      <c r="B31" s="76" t="s">
        <v>3498</v>
      </c>
      <c r="C31" s="251" t="s">
        <v>48</v>
      </c>
      <c r="D31" s="243">
        <f>IF(OR(D11="NA",StatementI!D23="NA"),"NA",-SUM(D11)+SUM(StatementI!D23))</f>
        <v>0</v>
      </c>
      <c r="E31" s="243">
        <f>IF(OR(E11="NA",StatementI!E23="NA"),"NA",-SUM(E11)+SUM(StatementI!E23))</f>
        <v>0</v>
      </c>
      <c r="F31" s="243">
        <f>IF(OR(F11="NA",StatementI!F23="NA"),"NA",-SUM(F11)+SUM(StatementI!F23))</f>
        <v>0</v>
      </c>
      <c r="G31" s="243">
        <f>IF(OR(G11="NA",StatementI!G23="NA"),"NA",-SUM(G11)+SUM(StatementI!G23))</f>
        <v>0</v>
      </c>
      <c r="H31" s="243">
        <f>IF(OR(H11="NA",StatementI!H23="NA"),"NA",-SUM(H11)+SUM(StatementI!H23))</f>
        <v>0</v>
      </c>
      <c r="I31" s="243">
        <f>IF(OR(I11="NA",StatementI!I23="NA"),"NA",-SUM(I11)+SUM(StatementI!I23))</f>
        <v>0</v>
      </c>
      <c r="J31" s="243">
        <f>IF(OR(J11="NA",StatementI!J23="NA"),"NA",-SUM(J11)+SUM(StatementI!J23))</f>
        <v>0</v>
      </c>
      <c r="K31" s="243">
        <f>IF(OR(K11="NA",StatementI!K23="NA"),"NA",-SUM(K11)+SUM(StatementI!K23))</f>
        <v>0</v>
      </c>
      <c r="L31" s="243">
        <f>IF(OR(L11="NA",StatementI!L23="NA"),"NA",-SUM(L11)+SUM(StatementI!L23))</f>
        <v>0</v>
      </c>
      <c r="M31" s="243">
        <f>IF(OR(M11="NA",StatementI!M23="NA"),"NA",-SUM(M11)+SUM(StatementI!M23))</f>
        <v>0</v>
      </c>
      <c r="N31" s="191"/>
      <c r="O31" s="248"/>
      <c r="P31" s="248"/>
    </row>
    <row r="32" spans="1:16" ht="10.5" customHeight="1" x14ac:dyDescent="0.2">
      <c r="A32" s="233"/>
      <c r="B32" s="136" t="s">
        <v>927</v>
      </c>
      <c r="C32" s="76"/>
      <c r="D32" s="243">
        <f t="shared" ref="D32:M32" si="6">IF(OR(D22="NA",D13="NA",D16="NA",D19="NA"),"NA",-SUM(D22)+SUM(D13)+SUM(D16)-SUM(D19))</f>
        <v>9.0949470177292824E-13</v>
      </c>
      <c r="E32" s="243">
        <f t="shared" si="6"/>
        <v>-5.6843418860808015E-14</v>
      </c>
      <c r="F32" s="243">
        <f t="shared" si="6"/>
        <v>0</v>
      </c>
      <c r="G32" s="243">
        <f t="shared" si="6"/>
        <v>0</v>
      </c>
      <c r="H32" s="243">
        <f t="shared" si="6"/>
        <v>0</v>
      </c>
      <c r="I32" s="243">
        <f t="shared" si="6"/>
        <v>-2.2737367544323206E-13</v>
      </c>
      <c r="J32" s="243">
        <f t="shared" si="6"/>
        <v>1.1368683772161603E-13</v>
      </c>
      <c r="K32" s="243">
        <f t="shared" si="6"/>
        <v>0</v>
      </c>
      <c r="L32" s="243">
        <f t="shared" si="6"/>
        <v>0</v>
      </c>
      <c r="M32" s="243">
        <f t="shared" si="6"/>
        <v>0</v>
      </c>
      <c r="N32" s="191"/>
      <c r="O32" s="248"/>
      <c r="P32" s="248"/>
    </row>
    <row r="33" spans="1:16" ht="10.5" customHeight="1" x14ac:dyDescent="0.2">
      <c r="A33" s="204"/>
      <c r="B33" s="140" t="s">
        <v>975</v>
      </c>
      <c r="C33" s="140"/>
      <c r="D33" s="244">
        <f t="shared" ref="D33:M33" si="7">IF(OR(D23="NA",D11="NA",D22="NA"),"NA",-SUM(D23)+SUM(D11)+SUM(D22))</f>
        <v>-9.0949470177292824E-13</v>
      </c>
      <c r="E33" s="244">
        <f t="shared" si="7"/>
        <v>0</v>
      </c>
      <c r="F33" s="244">
        <f t="shared" si="7"/>
        <v>0</v>
      </c>
      <c r="G33" s="244">
        <f t="shared" si="7"/>
        <v>0</v>
      </c>
      <c r="H33" s="244">
        <f t="shared" si="7"/>
        <v>0</v>
      </c>
      <c r="I33" s="244">
        <f t="shared" si="7"/>
        <v>0</v>
      </c>
      <c r="J33" s="244">
        <f t="shared" si="7"/>
        <v>-3.4106051316484809E-13</v>
      </c>
      <c r="K33" s="244">
        <f t="shared" si="7"/>
        <v>0</v>
      </c>
      <c r="L33" s="244">
        <f t="shared" si="7"/>
        <v>0</v>
      </c>
      <c r="M33" s="244">
        <f t="shared" si="7"/>
        <v>3.637978807091713E-12</v>
      </c>
      <c r="N33" s="191"/>
      <c r="O33" s="248"/>
      <c r="P33" s="248"/>
    </row>
    <row r="34" spans="1:16" ht="10.5" customHeight="1" x14ac:dyDescent="0.2">
      <c r="A34" s="200" t="s">
        <v>2776</v>
      </c>
      <c r="B34" s="103"/>
      <c r="C34" s="103" t="s">
        <v>48</v>
      </c>
      <c r="D34" s="243"/>
      <c r="E34" s="243"/>
      <c r="F34" s="243"/>
      <c r="G34" s="243"/>
      <c r="H34" s="243"/>
      <c r="I34" s="243"/>
      <c r="J34" s="243"/>
      <c r="K34" s="243"/>
      <c r="L34" s="243"/>
      <c r="M34" s="243"/>
      <c r="N34" s="191"/>
      <c r="O34" s="248"/>
      <c r="P34" s="248"/>
    </row>
    <row r="35" spans="1:16" ht="10.5" customHeight="1" x14ac:dyDescent="0.2">
      <c r="A35" s="200"/>
      <c r="B35" s="103" t="s">
        <v>933</v>
      </c>
      <c r="C35" s="103"/>
      <c r="D35" s="243">
        <f t="shared" ref="D35:M35" si="8">IF(OR(D13="NA",D14="NA",D15="NA"),"NA",-SUM(D13)+SUM(D14)+SUM(D15))</f>
        <v>4.5474735088646412E-13</v>
      </c>
      <c r="E35" s="243">
        <f t="shared" si="8"/>
        <v>-1.4210854715202004E-14</v>
      </c>
      <c r="F35" s="243">
        <f t="shared" si="8"/>
        <v>0</v>
      </c>
      <c r="G35" s="243">
        <f t="shared" si="8"/>
        <v>9.0949470177292824E-13</v>
      </c>
      <c r="H35" s="243">
        <f t="shared" si="8"/>
        <v>-1.2434497875801753E-14</v>
      </c>
      <c r="I35" s="243">
        <f t="shared" si="8"/>
        <v>1.0658141036401503E-14</v>
      </c>
      <c r="J35" s="243">
        <f t="shared" si="8"/>
        <v>2.8421709430404007E-14</v>
      </c>
      <c r="K35" s="243">
        <f t="shared" si="8"/>
        <v>0</v>
      </c>
      <c r="L35" s="243">
        <f t="shared" si="8"/>
        <v>4.5474735088646412E-13</v>
      </c>
      <c r="M35" s="243">
        <f t="shared" si="8"/>
        <v>9.0949470177292824E-13</v>
      </c>
      <c r="N35" s="191"/>
      <c r="O35" s="248"/>
      <c r="P35" s="248"/>
    </row>
    <row r="36" spans="1:16" ht="10.5" customHeight="1" x14ac:dyDescent="0.2">
      <c r="A36" s="200"/>
      <c r="B36" s="103" t="s">
        <v>937</v>
      </c>
      <c r="C36" s="103"/>
      <c r="D36" s="243">
        <f t="shared" ref="D36:M36" si="9">IF(OR(D16="NA",D17="NA",D18="NA"),"NA",-SUM(D16)+SUM(D17)+SUM(D18))</f>
        <v>9.0949470177292824E-13</v>
      </c>
      <c r="E36" s="243">
        <f t="shared" si="9"/>
        <v>0</v>
      </c>
      <c r="F36" s="243">
        <f t="shared" si="9"/>
        <v>0</v>
      </c>
      <c r="G36" s="243">
        <f t="shared" si="9"/>
        <v>1.8189894035458565E-12</v>
      </c>
      <c r="H36" s="243">
        <f t="shared" si="9"/>
        <v>0</v>
      </c>
      <c r="I36" s="243">
        <f t="shared" si="9"/>
        <v>0</v>
      </c>
      <c r="J36" s="243">
        <f t="shared" si="9"/>
        <v>-4.5474735088646412E-13</v>
      </c>
      <c r="K36" s="243">
        <f t="shared" si="9"/>
        <v>0</v>
      </c>
      <c r="L36" s="243">
        <f t="shared" si="9"/>
        <v>0</v>
      </c>
      <c r="M36" s="243">
        <f t="shared" si="9"/>
        <v>1.8189894035458565E-12</v>
      </c>
      <c r="N36" s="191"/>
      <c r="O36" s="248"/>
      <c r="P36" s="248"/>
    </row>
    <row r="37" spans="1:16" ht="10.5" customHeight="1" x14ac:dyDescent="0.2">
      <c r="A37" s="190"/>
      <c r="B37" s="103" t="s">
        <v>947</v>
      </c>
      <c r="C37" s="103" t="s">
        <v>48</v>
      </c>
      <c r="D37" s="243">
        <f t="shared" ref="D37:M37" si="10">IF(OR(D19="NA",D20="NA",D21="NA"),"NA",-SUM(D19)+SUM(D20)+SUM(D21))</f>
        <v>0</v>
      </c>
      <c r="E37" s="243">
        <f t="shared" si="10"/>
        <v>0</v>
      </c>
      <c r="F37" s="243">
        <f t="shared" si="10"/>
        <v>0</v>
      </c>
      <c r="G37" s="243">
        <f t="shared" si="10"/>
        <v>-9.0949470177292824E-13</v>
      </c>
      <c r="H37" s="243">
        <f t="shared" si="10"/>
        <v>0</v>
      </c>
      <c r="I37" s="243">
        <f t="shared" si="10"/>
        <v>0</v>
      </c>
      <c r="J37" s="243">
        <f t="shared" si="10"/>
        <v>0</v>
      </c>
      <c r="K37" s="243">
        <f t="shared" si="10"/>
        <v>0</v>
      </c>
      <c r="L37" s="243">
        <f t="shared" si="10"/>
        <v>-1.8189894035458565E-12</v>
      </c>
      <c r="M37" s="243">
        <f t="shared" si="10"/>
        <v>-9.0949470177292824E-13</v>
      </c>
      <c r="N37" s="191"/>
      <c r="O37" s="248"/>
      <c r="P37" s="248"/>
    </row>
    <row r="38" spans="1:16" ht="10.5" hidden="1" customHeight="1" x14ac:dyDescent="0.2">
      <c r="A38" s="190"/>
      <c r="B38" s="103" t="s">
        <v>717</v>
      </c>
      <c r="C38" s="103"/>
      <c r="D38" s="243">
        <f>IF(OR(D9="NA",Table1!E8="NA"),"NA",-SUM(D9)+SUM(Table1!E8))</f>
        <v>0</v>
      </c>
      <c r="E38" s="243">
        <f>IF(OR(E9="NA",Table1!F8="NA"),"NA",-SUM(E9)+SUM(Table1!F8))</f>
        <v>0</v>
      </c>
      <c r="F38" s="243">
        <f>IF(OR(F9="NA",Table1!G8="NA"),"NA",-SUM(F9)+SUM(Table1!G8))</f>
        <v>0</v>
      </c>
      <c r="G38" s="243">
        <f>IF(OR(G9="NA",Table1!H8="NA"),"NA",-SUM(G9)+SUM(Table1!H8))</f>
        <v>0</v>
      </c>
      <c r="H38" s="243">
        <f>IF(OR(H9="NA",Table1!I8="NA"),"NA",-SUM(H9)+SUM(Table1!I8))</f>
        <v>0</v>
      </c>
      <c r="I38" s="243">
        <f>IF(OR(I9="NA",Table1!J8="NA"),"NA",-SUM(I9)+SUM(Table1!J8))</f>
        <v>0</v>
      </c>
      <c r="J38" s="243">
        <f>IF(OR(J9="NA",Table1!K8="NA"),"NA",-SUM(J9)+SUM(Table1!K8))</f>
        <v>0</v>
      </c>
      <c r="K38" s="243">
        <f>IF(OR(K9="NA",Table1!L8="NA"),"NA",-SUM(K9)+SUM(Table1!L8))</f>
        <v>0</v>
      </c>
      <c r="L38" s="243">
        <f>IF(OR(L9="NA",Table1!M8="NA"),"NA",-SUM(L9)+SUM(Table1!M8))</f>
        <v>0</v>
      </c>
      <c r="M38" s="243">
        <f>IF(OR(M9="NA",Table1!N8="NA"),"NA",-SUM(M9)+SUM(Table1!N8))</f>
        <v>0</v>
      </c>
      <c r="N38" s="191"/>
      <c r="O38" s="248"/>
      <c r="P38" s="248"/>
    </row>
    <row r="39" spans="1:16" ht="10.5" hidden="1" customHeight="1" x14ac:dyDescent="0.2">
      <c r="A39" s="190"/>
      <c r="B39" s="103" t="s">
        <v>718</v>
      </c>
      <c r="C39" s="103"/>
      <c r="D39" s="243">
        <f>IF(OR(D10="NA",Table2!E8="NA"),"NA",-SUM(D10)+SUM(Table2!E8))</f>
        <v>0</v>
      </c>
      <c r="E39" s="243">
        <f>IF(OR(E10="NA",Table2!F8="NA"),"NA",-SUM(E10)+SUM(Table2!F8))</f>
        <v>0</v>
      </c>
      <c r="F39" s="243">
        <f>IF(OR(F10="NA",Table2!G8="NA"),"NA",-SUM(F10)+SUM(Table2!G8))</f>
        <v>0</v>
      </c>
      <c r="G39" s="243">
        <f>IF(OR(G10="NA",Table2!H8="NA"),"NA",-SUM(G10)+SUM(Table2!H8))</f>
        <v>0</v>
      </c>
      <c r="H39" s="243">
        <f>IF(OR(H10="NA",Table2!I8="NA"),"NA",-SUM(H10)+SUM(Table2!I8))</f>
        <v>0</v>
      </c>
      <c r="I39" s="243">
        <f>IF(OR(I10="NA",Table2!J8="NA"),"NA",-SUM(I10)+SUM(Table2!J8))</f>
        <v>0</v>
      </c>
      <c r="J39" s="243">
        <f>IF(OR(J10="NA",Table2!K8="NA"),"NA",-SUM(J10)+SUM(Table2!K8))</f>
        <v>0</v>
      </c>
      <c r="K39" s="243">
        <f>IF(OR(K10="NA",Table2!L8="NA"),"NA",-SUM(K10)+SUM(Table2!L8))</f>
        <v>0</v>
      </c>
      <c r="L39" s="243">
        <f>IF(OR(L10="NA",Table2!M8="NA"),"NA",-SUM(L10)+SUM(Table2!M8))</f>
        <v>0</v>
      </c>
      <c r="M39" s="243">
        <f>IF(OR(M10="NA",Table2!N8="NA"),"NA",-SUM(M10)+SUM(Table2!N8))</f>
        <v>0</v>
      </c>
      <c r="N39" s="191"/>
      <c r="O39" s="248"/>
      <c r="P39" s="248"/>
    </row>
    <row r="40" spans="1:16" ht="10.5" hidden="1" customHeight="1" x14ac:dyDescent="0.2">
      <c r="A40" s="233"/>
      <c r="B40" s="76" t="s">
        <v>976</v>
      </c>
      <c r="C40" s="76"/>
      <c r="D40" s="243">
        <f>IF(OR(D22="NA",Table9!E8="NA"),"NA",-SUM(D22)+SUM(Table9!E8))</f>
        <v>0</v>
      </c>
      <c r="E40" s="243">
        <f>IF(OR(E22="NA",Table9!F8="NA"),"NA",-SUM(E22)+SUM(Table9!F8))</f>
        <v>0</v>
      </c>
      <c r="F40" s="243">
        <f>IF(OR(F22="NA",Table9!G8="NA"),"NA",-SUM(F22)+SUM(Table9!G8))</f>
        <v>0</v>
      </c>
      <c r="G40" s="243">
        <f>IF(OR(G22="NA",Table9!H8="NA"),"NA",-SUM(G22)+SUM(Table9!H8))</f>
        <v>0</v>
      </c>
      <c r="H40" s="243">
        <f>IF(OR(H22="NA",Table9!I8="NA"),"NA",-SUM(H22)+SUM(Table9!I8))</f>
        <v>0</v>
      </c>
      <c r="I40" s="243">
        <f>IF(OR(I22="NA",Table9!J8="NA"),"NA",-SUM(I22)+SUM(Table9!J8))</f>
        <v>0</v>
      </c>
      <c r="J40" s="243">
        <f>IF(OR(J22="NA",Table9!K8="NA"),"NA",-SUM(J22)+SUM(Table9!K8))</f>
        <v>0</v>
      </c>
      <c r="K40" s="243">
        <f>IF(OR(K22="NA",Table9!L8="NA"),"NA",-SUM(K22)+SUM(Table9!L8))</f>
        <v>0</v>
      </c>
      <c r="L40" s="243">
        <f>IF(OR(L22="NA",Table9!M8="NA"),"NA",-SUM(L22)+SUM(Table9!M8))</f>
        <v>0</v>
      </c>
      <c r="M40" s="243">
        <f>IF(OR(M22="NA",Table9!N8="NA"),"NA",-SUM(M22)+SUM(Table9!N8))</f>
        <v>0</v>
      </c>
      <c r="N40" s="191"/>
      <c r="O40" s="248"/>
      <c r="P40" s="248"/>
    </row>
    <row r="41" spans="1:16" ht="10.5" hidden="1" customHeight="1" x14ac:dyDescent="0.2">
      <c r="A41" s="190"/>
      <c r="B41" s="103" t="s">
        <v>977</v>
      </c>
      <c r="C41" s="103" t="s">
        <v>48</v>
      </c>
      <c r="D41" s="243">
        <f>IF(OR(D13="NA",Table9!E9="NA"),"NA",-SUM(D13)+SUM(Table9!E9))</f>
        <v>0</v>
      </c>
      <c r="E41" s="243">
        <f>IF(OR(E13="NA",Table9!F9="NA"),"NA",-SUM(E13)+SUM(Table9!F9))</f>
        <v>0</v>
      </c>
      <c r="F41" s="243">
        <f>IF(OR(F13="NA",Table9!G9="NA"),"NA",-SUM(F13)+SUM(Table9!G9))</f>
        <v>0</v>
      </c>
      <c r="G41" s="243">
        <f>IF(OR(G13="NA",Table9!H9="NA"),"NA",-SUM(G13)+SUM(Table9!H9))</f>
        <v>0</v>
      </c>
      <c r="H41" s="243">
        <f>IF(OR(H13="NA",Table9!I9="NA"),"NA",-SUM(H13)+SUM(Table9!I9))</f>
        <v>0</v>
      </c>
      <c r="I41" s="243">
        <f>IF(OR(I13="NA",Table9!J9="NA"),"NA",-SUM(I13)+SUM(Table9!J9))</f>
        <v>0</v>
      </c>
      <c r="J41" s="243">
        <f>IF(OR(J13="NA",Table9!K9="NA"),"NA",-SUM(J13)+SUM(Table9!K9))</f>
        <v>0</v>
      </c>
      <c r="K41" s="243">
        <f>IF(OR(K13="NA",Table9!L9="NA"),"NA",-SUM(K13)+SUM(Table9!L9))</f>
        <v>0</v>
      </c>
      <c r="L41" s="243">
        <f>IF(OR(L13="NA",Table9!M9="NA"),"NA",-SUM(L13)+SUM(Table9!M9))</f>
        <v>0</v>
      </c>
      <c r="M41" s="243">
        <f>IF(OR(M13="NA",Table9!N9="NA"),"NA",-SUM(M13)+SUM(Table9!N9))</f>
        <v>0</v>
      </c>
      <c r="N41" s="191"/>
      <c r="O41" s="248"/>
      <c r="P41" s="248"/>
    </row>
    <row r="42" spans="1:16" ht="10.5" hidden="1" customHeight="1" x14ac:dyDescent="0.2">
      <c r="A42" s="190"/>
      <c r="B42" s="103" t="s">
        <v>978</v>
      </c>
      <c r="C42" s="103" t="s">
        <v>48</v>
      </c>
      <c r="D42" s="243">
        <f>IF(OR(D16="NA",Table9!E14="NA"),"NA",-SUM(D16)+SUM(Table9!E14))</f>
        <v>0</v>
      </c>
      <c r="E42" s="243">
        <f>IF(OR(E16="NA",Table9!F14="NA"),"NA",-SUM(E16)+SUM(Table9!F14))</f>
        <v>0</v>
      </c>
      <c r="F42" s="243">
        <f>IF(OR(F16="NA",Table9!G14="NA"),"NA",-SUM(F16)+SUM(Table9!G14))</f>
        <v>0</v>
      </c>
      <c r="G42" s="243">
        <f>IF(OR(G16="NA",Table9!H14="NA"),"NA",-SUM(G16)+SUM(Table9!H14))</f>
        <v>0</v>
      </c>
      <c r="H42" s="243">
        <f>IF(OR(H16="NA",Table9!I14="NA"),"NA",-SUM(H16)+SUM(Table9!I14))</f>
        <v>0</v>
      </c>
      <c r="I42" s="243">
        <f>IF(OR(I16="NA",Table9!J14="NA"),"NA",-SUM(I16)+SUM(Table9!J14))</f>
        <v>0</v>
      </c>
      <c r="J42" s="243">
        <f>IF(OR(J16="NA",Table9!K14="NA"),"NA",-SUM(J16)+SUM(Table9!K14))</f>
        <v>0</v>
      </c>
      <c r="K42" s="243">
        <f>IF(OR(K16="NA",Table9!L14="NA"),"NA",-SUM(K16)+SUM(Table9!L14))</f>
        <v>0</v>
      </c>
      <c r="L42" s="243">
        <f>IF(OR(L16="NA",Table9!M14="NA"),"NA",-SUM(L16)+SUM(Table9!M14))</f>
        <v>0</v>
      </c>
      <c r="M42" s="243">
        <f>IF(OR(M16="NA",Table9!N14="NA"),"NA",-SUM(M16)+SUM(Table9!N14))</f>
        <v>0</v>
      </c>
      <c r="N42" s="191"/>
      <c r="O42" s="248"/>
      <c r="P42" s="248"/>
    </row>
    <row r="43" spans="1:16" ht="10.5" hidden="1" customHeight="1" x14ac:dyDescent="0.2">
      <c r="A43" s="190"/>
      <c r="B43" s="103" t="s">
        <v>979</v>
      </c>
      <c r="C43" s="103"/>
      <c r="D43" s="243">
        <f>IF(OR(D19="NA",Table9!E25="NA"),"NA",-SUM(D19)+SUM(Table9!E25))</f>
        <v>0</v>
      </c>
      <c r="E43" s="243">
        <f>IF(OR(E19="NA",Table9!F25="NA"),"NA",-SUM(E19)+SUM(Table9!F25))</f>
        <v>0</v>
      </c>
      <c r="F43" s="243">
        <f>IF(OR(F19="NA",Table9!G25="NA"),"NA",-SUM(F19)+SUM(Table9!G25))</f>
        <v>0</v>
      </c>
      <c r="G43" s="243">
        <f>IF(OR(G19="NA",Table9!H25="NA"),"NA",-SUM(G19)+SUM(Table9!H25))</f>
        <v>0</v>
      </c>
      <c r="H43" s="243">
        <f>IF(OR(H19="NA",Table9!I25="NA"),"NA",-SUM(H19)+SUM(Table9!I25))</f>
        <v>0</v>
      </c>
      <c r="I43" s="243">
        <f>IF(OR(I19="NA",Table9!J25="NA"),"NA",-SUM(I19)+SUM(Table9!J25))</f>
        <v>0</v>
      </c>
      <c r="J43" s="243">
        <f>IF(OR(J19="NA",Table9!K25="NA"),"NA",-SUM(J19)+SUM(Table9!K25))</f>
        <v>0</v>
      </c>
      <c r="K43" s="243">
        <f>IF(OR(K19="NA",Table9!L25="NA"),"NA",-SUM(K19)+SUM(Table9!L25))</f>
        <v>0</v>
      </c>
      <c r="L43" s="243">
        <f>IF(OR(L19="NA",Table9!M25="NA"),"NA",-SUM(L19)+SUM(Table9!M25))</f>
        <v>0</v>
      </c>
      <c r="M43" s="243">
        <f>IF(OR(M19="NA",Table9!N25="NA"),"NA",-SUM(M19)+SUM(Table9!N25))</f>
        <v>0</v>
      </c>
      <c r="N43" s="191"/>
      <c r="O43" s="248"/>
      <c r="P43" s="248"/>
    </row>
    <row r="44" spans="1:16" ht="10.5" hidden="1" customHeight="1" x14ac:dyDescent="0.25">
      <c r="A44" s="190"/>
      <c r="B44" s="103" t="s">
        <v>980</v>
      </c>
      <c r="C44" s="103"/>
      <c r="D44" s="243">
        <f>IF(OR(D24="NA",Table6!E8="NA"),"NA",-SUM(D24)+SUM(Table6!E8))</f>
        <v>0</v>
      </c>
      <c r="E44" s="243">
        <f>IF(OR(E24="NA",Table6!F8="NA"),"NA",-SUM(E24)+SUM(Table6!F8))</f>
        <v>0</v>
      </c>
      <c r="F44" s="243">
        <f>IF(OR(F24="NA",Table6!G8="NA"),"NA",-SUM(F24)+SUM(Table6!G8))</f>
        <v>0</v>
      </c>
      <c r="G44" s="243">
        <f>IF(OR(G24="NA",Table6!H8="NA"),"NA",-SUM(G24)+SUM(Table6!H8))</f>
        <v>0</v>
      </c>
      <c r="H44" s="243">
        <f>IF(OR(H24="NA",Table6!I8="NA"),"NA",-SUM(H24)+SUM(Table6!I8))</f>
        <v>0</v>
      </c>
      <c r="I44" s="243">
        <f>IF(OR(I24="NA",Table6!J8="NA"),"NA",-SUM(I24)+SUM(Table6!J8))</f>
        <v>0</v>
      </c>
      <c r="J44" s="243">
        <f>IF(OR(J24="NA",Table6!K8="NA"),"NA",-SUM(J24)+SUM(Table6!K8))</f>
        <v>0</v>
      </c>
      <c r="K44" s="243">
        <f>IF(OR(K24="NA",Table6!L8="NA"),"NA",-SUM(K24)+SUM(Table6!L8))</f>
        <v>0</v>
      </c>
      <c r="L44" s="243">
        <f>IF(OR(L24="NA",Table6!M8="NA"),"NA",-SUM(L24)+SUM(Table6!M8))</f>
        <v>0</v>
      </c>
      <c r="M44" s="243">
        <f>IF(OR(M24="NA",Table6!N8="NA"),"NA",-SUM(M24)+SUM(Table6!N8))</f>
        <v>0</v>
      </c>
      <c r="N44" s="191"/>
      <c r="O44" s="248"/>
      <c r="P44" s="248"/>
    </row>
    <row r="45" spans="1:16" ht="10.5" customHeight="1" x14ac:dyDescent="0.2">
      <c r="A45" s="217"/>
      <c r="B45" s="94"/>
      <c r="C45" s="77" t="s">
        <v>48</v>
      </c>
      <c r="D45" s="245"/>
      <c r="E45" s="245"/>
      <c r="F45" s="245"/>
      <c r="G45" s="245"/>
      <c r="H45" s="245"/>
      <c r="I45" s="245"/>
      <c r="J45" s="245"/>
      <c r="K45" s="245"/>
      <c r="L45" s="245"/>
      <c r="M45" s="245"/>
      <c r="N45" s="191"/>
      <c r="O45" s="248"/>
      <c r="P45" s="248"/>
    </row>
    <row r="46" spans="1:16" x14ac:dyDescent="0.2">
      <c r="A46" s="190"/>
      <c r="B46" s="103"/>
      <c r="C46" s="103"/>
      <c r="D46" s="103"/>
      <c r="E46" s="103"/>
      <c r="F46" s="103"/>
      <c r="G46" s="103"/>
      <c r="H46" s="103"/>
      <c r="I46" s="103"/>
      <c r="J46" s="103"/>
      <c r="K46" s="103"/>
      <c r="L46" s="103"/>
      <c r="M46" s="103"/>
      <c r="N46" s="103"/>
    </row>
    <row r="47" spans="1:16" x14ac:dyDescent="0.2">
      <c r="A47" s="190"/>
      <c r="B47" s="103"/>
      <c r="C47" s="103"/>
      <c r="D47" s="103"/>
      <c r="E47" s="103"/>
      <c r="F47" s="103"/>
      <c r="G47" s="103"/>
      <c r="H47" s="103"/>
      <c r="I47" s="103"/>
      <c r="J47" s="103"/>
      <c r="K47" s="103"/>
      <c r="L47" s="103"/>
      <c r="M47" s="103"/>
      <c r="N47" s="103"/>
    </row>
    <row r="48" spans="1:16" x14ac:dyDescent="0.2">
      <c r="A48" s="190"/>
      <c r="B48" s="103"/>
      <c r="C48" s="103"/>
      <c r="D48" s="103"/>
      <c r="E48" s="103"/>
      <c r="F48" s="103"/>
      <c r="G48" s="103"/>
      <c r="H48" s="103"/>
      <c r="I48" s="103"/>
      <c r="J48" s="103"/>
      <c r="K48" s="103"/>
      <c r="L48" s="103"/>
      <c r="M48" s="103"/>
      <c r="N48" s="103"/>
    </row>
    <row r="49" spans="1:14" x14ac:dyDescent="0.2">
      <c r="A49" s="190"/>
      <c r="B49" s="103"/>
      <c r="C49" s="103"/>
      <c r="D49" s="103"/>
      <c r="E49" s="103"/>
      <c r="F49" s="103"/>
      <c r="G49" s="103"/>
      <c r="H49" s="103"/>
      <c r="I49" s="103"/>
      <c r="J49" s="103"/>
      <c r="K49" s="103"/>
      <c r="L49" s="103"/>
      <c r="M49" s="103"/>
      <c r="N49" s="103"/>
    </row>
    <row r="50" spans="1:14" x14ac:dyDescent="0.2">
      <c r="A50" s="190"/>
      <c r="B50" s="103"/>
      <c r="C50" s="103"/>
      <c r="D50" s="103"/>
      <c r="E50" s="103"/>
      <c r="F50" s="103"/>
      <c r="G50" s="103"/>
      <c r="H50" s="103"/>
      <c r="I50" s="103"/>
      <c r="J50" s="103"/>
      <c r="K50" s="103"/>
      <c r="L50" s="103"/>
      <c r="M50" s="103"/>
      <c r="N50" s="103"/>
    </row>
    <row r="51" spans="1:14" x14ac:dyDescent="0.2">
      <c r="A51" s="190"/>
      <c r="B51" s="103"/>
      <c r="C51" s="103"/>
      <c r="D51" s="103"/>
      <c r="E51" s="103"/>
      <c r="F51" s="103"/>
      <c r="G51" s="103"/>
      <c r="H51" s="103"/>
      <c r="I51" s="103"/>
      <c r="J51" s="103"/>
      <c r="K51" s="103"/>
      <c r="L51" s="103"/>
      <c r="M51" s="103"/>
      <c r="N51" s="103"/>
    </row>
    <row r="52" spans="1:14" x14ac:dyDescent="0.2">
      <c r="A52" s="190"/>
      <c r="B52" s="103"/>
      <c r="C52" s="103"/>
      <c r="D52" s="103"/>
      <c r="E52" s="103"/>
      <c r="F52" s="103"/>
      <c r="G52" s="103"/>
      <c r="H52" s="103"/>
      <c r="I52" s="103"/>
      <c r="J52" s="103"/>
      <c r="K52" s="103"/>
      <c r="L52" s="103"/>
      <c r="M52" s="103"/>
      <c r="N52" s="103"/>
    </row>
    <row r="53" spans="1:14" x14ac:dyDescent="0.2">
      <c r="A53" s="190"/>
      <c r="B53" s="103"/>
      <c r="C53" s="103"/>
      <c r="D53" s="103"/>
      <c r="E53" s="103"/>
      <c r="F53" s="103"/>
      <c r="G53" s="103"/>
      <c r="H53" s="103"/>
      <c r="I53" s="103"/>
      <c r="J53" s="103"/>
      <c r="K53" s="103"/>
      <c r="L53" s="103"/>
      <c r="M53" s="103"/>
      <c r="N53" s="103"/>
    </row>
    <row r="54" spans="1:14" x14ac:dyDescent="0.2">
      <c r="A54" s="190"/>
      <c r="B54" s="103"/>
      <c r="C54" s="103"/>
      <c r="D54" s="103"/>
      <c r="E54" s="103"/>
      <c r="F54" s="103"/>
      <c r="G54" s="103"/>
      <c r="H54" s="103"/>
      <c r="I54" s="103"/>
      <c r="J54" s="103"/>
      <c r="K54" s="103"/>
      <c r="L54" s="103"/>
      <c r="M54" s="103"/>
      <c r="N54" s="103"/>
    </row>
    <row r="55" spans="1:14" x14ac:dyDescent="0.2">
      <c r="A55" s="190"/>
      <c r="B55" s="103"/>
      <c r="C55" s="103"/>
      <c r="D55" s="103"/>
      <c r="E55" s="103"/>
      <c r="F55" s="103"/>
      <c r="G55" s="103"/>
      <c r="H55" s="103"/>
      <c r="I55" s="103"/>
      <c r="J55" s="103"/>
      <c r="K55" s="103"/>
      <c r="L55" s="103"/>
      <c r="M55" s="103"/>
      <c r="N55" s="103"/>
    </row>
    <row r="56" spans="1:14" x14ac:dyDescent="0.2">
      <c r="A56" s="190"/>
      <c r="B56" s="103"/>
      <c r="C56" s="103"/>
      <c r="D56" s="103"/>
      <c r="E56" s="103"/>
      <c r="F56" s="103"/>
      <c r="G56" s="103"/>
      <c r="H56" s="103"/>
      <c r="I56" s="103"/>
      <c r="J56" s="103"/>
      <c r="K56" s="103"/>
      <c r="L56" s="103"/>
      <c r="M56" s="103"/>
      <c r="N56" s="103"/>
    </row>
    <row r="57" spans="1:14" x14ac:dyDescent="0.2">
      <c r="A57" s="190"/>
      <c r="B57" s="103"/>
      <c r="C57" s="103"/>
      <c r="D57" s="252"/>
      <c r="E57" s="103"/>
      <c r="F57" s="103"/>
      <c r="G57" s="103"/>
      <c r="H57" s="103"/>
      <c r="I57" s="103"/>
      <c r="J57" s="103"/>
      <c r="K57" s="103"/>
      <c r="L57" s="103"/>
      <c r="M57" s="103"/>
      <c r="N57" s="103"/>
    </row>
    <row r="58" spans="1:14" x14ac:dyDescent="0.2">
      <c r="A58" s="190"/>
      <c r="B58" s="103"/>
      <c r="C58" s="103"/>
      <c r="D58" s="252"/>
      <c r="E58" s="103"/>
      <c r="F58" s="103"/>
      <c r="G58" s="103"/>
      <c r="H58" s="103"/>
      <c r="I58" s="103"/>
      <c r="J58" s="103"/>
      <c r="K58" s="103"/>
      <c r="L58" s="103"/>
      <c r="M58" s="103"/>
      <c r="N58" s="103"/>
    </row>
    <row r="59" spans="1:14" x14ac:dyDescent="0.2">
      <c r="A59" s="190"/>
      <c r="B59" s="103"/>
      <c r="C59" s="103"/>
      <c r="D59" s="103"/>
      <c r="E59" s="103"/>
      <c r="F59" s="103"/>
      <c r="G59" s="103"/>
      <c r="H59" s="103"/>
      <c r="I59" s="103"/>
      <c r="J59" s="103"/>
      <c r="K59" s="103"/>
      <c r="L59" s="103"/>
      <c r="M59" s="103"/>
      <c r="N59" s="103"/>
    </row>
    <row r="60" spans="1:14" x14ac:dyDescent="0.2">
      <c r="A60" s="190"/>
      <c r="B60" s="103"/>
      <c r="C60" s="103"/>
      <c r="D60" s="103"/>
      <c r="E60" s="103"/>
      <c r="F60" s="103"/>
      <c r="G60" s="103"/>
      <c r="H60" s="103"/>
      <c r="I60" s="103"/>
      <c r="J60" s="103"/>
      <c r="K60" s="103"/>
      <c r="L60" s="103"/>
      <c r="M60" s="103"/>
      <c r="N60" s="103"/>
    </row>
    <row r="61" spans="1:14" x14ac:dyDescent="0.2">
      <c r="A61" s="190"/>
      <c r="B61" s="103"/>
      <c r="C61" s="103"/>
      <c r="D61" s="103"/>
      <c r="E61" s="103"/>
      <c r="F61" s="103"/>
      <c r="G61" s="103"/>
      <c r="H61" s="103"/>
      <c r="I61" s="103"/>
      <c r="J61" s="103"/>
      <c r="K61" s="103"/>
      <c r="L61" s="103"/>
      <c r="M61" s="103"/>
      <c r="N61" s="103"/>
    </row>
    <row r="62" spans="1:14" x14ac:dyDescent="0.2">
      <c r="A62" s="190"/>
      <c r="B62" s="103"/>
      <c r="C62" s="103"/>
      <c r="D62" s="103"/>
      <c r="E62" s="103"/>
      <c r="F62" s="103"/>
      <c r="G62" s="103"/>
      <c r="H62" s="103"/>
      <c r="I62" s="103"/>
      <c r="J62" s="103"/>
      <c r="K62" s="103"/>
      <c r="L62" s="103"/>
      <c r="M62" s="103"/>
      <c r="N62" s="103"/>
    </row>
    <row r="63" spans="1:14" x14ac:dyDescent="0.2">
      <c r="A63" s="190"/>
      <c r="B63" s="103"/>
      <c r="C63" s="103"/>
      <c r="D63" s="103"/>
      <c r="E63" s="103"/>
      <c r="F63" s="103"/>
      <c r="G63" s="103"/>
      <c r="H63" s="103"/>
      <c r="I63" s="103"/>
      <c r="J63" s="103"/>
      <c r="K63" s="103"/>
      <c r="L63" s="103"/>
      <c r="M63" s="103"/>
      <c r="N63" s="103"/>
    </row>
    <row r="64" spans="1:14" x14ac:dyDescent="0.2">
      <c r="A64" s="190"/>
      <c r="B64" s="103"/>
      <c r="C64" s="103"/>
      <c r="D64" s="103"/>
      <c r="E64" s="103"/>
      <c r="F64" s="103"/>
      <c r="G64" s="103"/>
      <c r="H64" s="103"/>
      <c r="I64" s="103"/>
      <c r="J64" s="103"/>
      <c r="K64" s="103"/>
      <c r="L64" s="103"/>
      <c r="M64" s="103"/>
      <c r="N64" s="103"/>
    </row>
    <row r="65" spans="1:14" x14ac:dyDescent="0.2">
      <c r="A65" s="190"/>
      <c r="B65" s="103"/>
      <c r="C65" s="103"/>
      <c r="D65" s="103"/>
      <c r="E65" s="103"/>
      <c r="F65" s="103"/>
      <c r="G65" s="103"/>
      <c r="H65" s="103"/>
      <c r="I65" s="103"/>
      <c r="J65" s="103"/>
      <c r="K65" s="103"/>
      <c r="L65" s="103"/>
      <c r="M65" s="103"/>
      <c r="N65" s="103"/>
    </row>
    <row r="66" spans="1:14" x14ac:dyDescent="0.2">
      <c r="A66" s="190"/>
      <c r="B66" s="103"/>
      <c r="C66" s="103"/>
      <c r="D66" s="103"/>
      <c r="E66" s="103"/>
      <c r="F66" s="103"/>
      <c r="G66" s="103"/>
      <c r="H66" s="103"/>
      <c r="I66" s="103"/>
      <c r="J66" s="103"/>
      <c r="K66" s="103"/>
      <c r="L66" s="103"/>
      <c r="M66" s="103"/>
      <c r="N66" s="103"/>
    </row>
    <row r="67" spans="1:14" x14ac:dyDescent="0.2">
      <c r="A67" s="190"/>
      <c r="B67" s="103"/>
      <c r="C67" s="103"/>
      <c r="D67" s="103"/>
      <c r="E67" s="103"/>
      <c r="F67" s="103"/>
      <c r="G67" s="103"/>
      <c r="H67" s="103"/>
      <c r="I67" s="103"/>
      <c r="J67" s="103"/>
      <c r="K67" s="103"/>
      <c r="L67" s="103"/>
      <c r="M67" s="103"/>
      <c r="N67" s="103"/>
    </row>
    <row r="68" spans="1:14" x14ac:dyDescent="0.2">
      <c r="A68" s="190"/>
      <c r="B68" s="103"/>
      <c r="C68" s="103"/>
      <c r="D68" s="103"/>
      <c r="E68" s="103"/>
      <c r="F68" s="103"/>
      <c r="G68" s="103"/>
      <c r="H68" s="103"/>
      <c r="I68" s="103"/>
      <c r="J68" s="103"/>
      <c r="K68" s="103"/>
      <c r="L68" s="103"/>
      <c r="M68" s="103"/>
      <c r="N68" s="103"/>
    </row>
    <row r="69" spans="1:14" x14ac:dyDescent="0.2">
      <c r="A69" s="190"/>
      <c r="B69" s="103"/>
      <c r="C69" s="103"/>
      <c r="D69" s="103"/>
      <c r="E69" s="103"/>
      <c r="F69" s="103"/>
      <c r="G69" s="103"/>
      <c r="H69" s="103"/>
      <c r="I69" s="103"/>
      <c r="J69" s="103"/>
      <c r="K69" s="103"/>
      <c r="L69" s="103"/>
      <c r="M69" s="103"/>
      <c r="N69" s="103"/>
    </row>
    <row r="70" spans="1:14" x14ac:dyDescent="0.2">
      <c r="A70" s="190"/>
      <c r="B70" s="103"/>
      <c r="C70" s="103"/>
      <c r="D70" s="103"/>
      <c r="E70" s="103"/>
      <c r="F70" s="103"/>
      <c r="G70" s="103"/>
      <c r="H70" s="103"/>
      <c r="I70" s="103"/>
      <c r="J70" s="103"/>
      <c r="K70" s="103"/>
      <c r="L70" s="103"/>
      <c r="M70" s="103"/>
      <c r="N70" s="103"/>
    </row>
    <row r="71" spans="1:14" x14ac:dyDescent="0.2">
      <c r="A71" s="190"/>
      <c r="B71" s="103"/>
      <c r="C71" s="103"/>
      <c r="D71" s="103"/>
      <c r="E71" s="103"/>
      <c r="F71" s="103"/>
      <c r="G71" s="103"/>
      <c r="H71" s="103"/>
      <c r="I71" s="103"/>
      <c r="J71" s="103"/>
      <c r="K71" s="103"/>
      <c r="L71" s="103"/>
      <c r="M71" s="103"/>
      <c r="N71" s="103"/>
    </row>
    <row r="72" spans="1:14" x14ac:dyDescent="0.2">
      <c r="A72" s="190"/>
      <c r="B72" s="103"/>
      <c r="C72" s="103"/>
      <c r="D72" s="103"/>
      <c r="E72" s="103"/>
      <c r="F72" s="103"/>
      <c r="G72" s="103"/>
      <c r="H72" s="103"/>
      <c r="I72" s="103"/>
      <c r="J72" s="103"/>
      <c r="K72" s="103"/>
      <c r="L72" s="103"/>
      <c r="M72" s="103"/>
      <c r="N72" s="103"/>
    </row>
    <row r="73" spans="1:14" x14ac:dyDescent="0.2">
      <c r="A73" s="190"/>
      <c r="B73" s="103"/>
      <c r="C73" s="103"/>
      <c r="D73" s="103"/>
      <c r="E73" s="103"/>
      <c r="F73" s="103"/>
      <c r="G73" s="103"/>
      <c r="H73" s="103"/>
      <c r="I73" s="103"/>
      <c r="J73" s="103"/>
      <c r="K73" s="103"/>
      <c r="L73" s="103"/>
      <c r="M73" s="103"/>
      <c r="N73" s="103"/>
    </row>
    <row r="74" spans="1:14" x14ac:dyDescent="0.2">
      <c r="A74" s="190"/>
      <c r="B74" s="103"/>
      <c r="C74" s="103"/>
      <c r="D74" s="103"/>
      <c r="E74" s="103"/>
      <c r="F74" s="103"/>
      <c r="G74" s="103"/>
      <c r="H74" s="103"/>
      <c r="I74" s="103"/>
      <c r="J74" s="103"/>
      <c r="K74" s="103"/>
      <c r="L74" s="103"/>
      <c r="M74" s="103"/>
      <c r="N74" s="103"/>
    </row>
    <row r="75" spans="1:14" x14ac:dyDescent="0.2">
      <c r="A75" s="190"/>
      <c r="B75" s="103"/>
      <c r="C75" s="103"/>
      <c r="D75" s="103"/>
      <c r="E75" s="103"/>
      <c r="F75" s="103"/>
      <c r="G75" s="103"/>
      <c r="H75" s="103"/>
      <c r="I75" s="103"/>
      <c r="J75" s="103"/>
      <c r="K75" s="103"/>
      <c r="L75" s="103"/>
      <c r="M75" s="103"/>
      <c r="N75" s="103"/>
    </row>
    <row r="76" spans="1:14" x14ac:dyDescent="0.2">
      <c r="A76" s="190"/>
      <c r="B76" s="103"/>
      <c r="C76" s="103"/>
      <c r="D76" s="103"/>
      <c r="E76" s="103"/>
      <c r="F76" s="103"/>
      <c r="G76" s="103"/>
      <c r="H76" s="103"/>
      <c r="I76" s="103"/>
      <c r="J76" s="103"/>
      <c r="K76" s="103"/>
      <c r="L76" s="103"/>
      <c r="M76" s="103"/>
      <c r="N76" s="103"/>
    </row>
    <row r="77" spans="1:14" x14ac:dyDescent="0.2">
      <c r="A77" s="190"/>
      <c r="B77" s="103"/>
      <c r="C77" s="103"/>
      <c r="D77" s="103"/>
      <c r="E77" s="103"/>
      <c r="F77" s="103"/>
      <c r="G77" s="103"/>
      <c r="H77" s="103"/>
      <c r="I77" s="103"/>
      <c r="J77" s="103"/>
      <c r="K77" s="103"/>
      <c r="L77" s="103"/>
      <c r="M77" s="103"/>
      <c r="N77" s="103"/>
    </row>
  </sheetData>
  <sheetProtection password="EECE" sheet="1" objects="1" scenarios="1" formatCells="0" formatColumns="0" formatRows="0"/>
  <customSheetViews>
    <customSheetView guid="{C3088B2E-F853-4D7E-B687-C6500891DFCB}" scale="110" showPageBreaks="1" fitToPage="1" printArea="1">
      <pane xSplit="3" ySplit="6" topLeftCell="D7" activePane="bottomRight" state="frozen"/>
      <selection pane="bottomRight"/>
      <pageMargins left="0.47244094488188998" right="0.47244094488188998" top="0.59055118110236204" bottom="0.59055118110236204" header="0.39370078740157499" footer="0.39370078740157499"/>
      <pageSetup scale="81" fitToHeight="0" orientation="landscape" r:id="rId1"/>
      <headerFooter alignWithMargins="0">
        <oddFooter>&amp;L&amp;8&amp;D  &amp;T&amp;R&amp;8March 2014, Version 0.2</oddFooter>
      </headerFooter>
    </customSheetView>
    <customSheetView guid="{F866C9B2-56BF-4FE4-B270-CC8FE15A5892}" scale="110" showPageBreaks="1" fitToPage="1" printArea="1">
      <pane xSplit="2" ySplit="6" topLeftCell="D7" activePane="bottomRight" state="frozen"/>
      <selection pane="bottomRight"/>
      <pageMargins left="0.47244094488188998" right="0.47244094488188998" top="0.59055118110236204" bottom="0.59055118110236204" header="0.39370078740157499" footer="0.39370078740157499"/>
      <pageSetup scale="80" fitToHeight="0" orientation="landscape" r:id="rId2"/>
      <headerFooter alignWithMargins="0">
        <oddFooter>&amp;L&amp;8&amp;D  &amp;T&amp;R&amp;8March 2014, Version 0.2</oddFooter>
      </headerFooter>
    </customSheetView>
    <customSheetView guid="{D66484CB-9D53-43A1-A83D-11534BC40BF6}" scale="110" showPageBreaks="1" fitToPage="1" printArea="1">
      <pane xSplit="3" ySplit="6" topLeftCell="D7" activePane="bottomRight" state="frozen"/>
      <selection pane="bottomRight" activeCell="D7" sqref="D7"/>
      <pageMargins left="0.47244094488188998" right="0.47244094488188998" top="0.59055118110236204" bottom="0.59055118110236204" header="0.39370078740157499" footer="0.39370078740157499"/>
      <pageSetup scale="80" fitToHeight="0" orientation="landscape" r:id="rId3"/>
      <headerFooter alignWithMargins="0">
        <oddFooter>&amp;L&amp;8&amp;D  &amp;T&amp;R&amp;8March 2014, Version 0.2</oddFooter>
      </headerFooter>
    </customSheetView>
  </customSheetViews>
  <mergeCells count="12">
    <mergeCell ref="K4:K5"/>
    <mergeCell ref="L4:L5"/>
    <mergeCell ref="O4:P4"/>
    <mergeCell ref="E2:M2"/>
    <mergeCell ref="F1:L1"/>
    <mergeCell ref="F3:G3"/>
    <mergeCell ref="M3:M5"/>
    <mergeCell ref="A4:B5"/>
    <mergeCell ref="D4:G4"/>
    <mergeCell ref="H4:H5"/>
    <mergeCell ref="I4:I5"/>
    <mergeCell ref="J4:J5"/>
  </mergeCells>
  <conditionalFormatting sqref="O7:P25">
    <cfRule type="containsText" dxfId="297" priority="3" operator="containsText" text="NA">
      <formula>NOT(ISERROR(SEARCH("NA",O7)))</formula>
    </cfRule>
    <cfRule type="cellIs" dxfId="296" priority="4" operator="between">
      <formula>-0.1</formula>
      <formula>0.1</formula>
    </cfRule>
    <cfRule type="cellIs" dxfId="295" priority="7" operator="lessThan">
      <formula>-0.1</formula>
    </cfRule>
    <cfRule type="cellIs" dxfId="294" priority="8" operator="greaterThan">
      <formula>0.1</formula>
    </cfRule>
  </conditionalFormatting>
  <conditionalFormatting sqref="D28:M44">
    <cfRule type="cellIs" dxfId="293" priority="9" operator="lessThan">
      <formula>-0.1</formula>
    </cfRule>
    <cfRule type="cellIs" dxfId="292" priority="10" operator="greaterThan">
      <formula>0.1</formula>
    </cfRule>
  </conditionalFormatting>
  <conditionalFormatting sqref="D29:M33 D35:M37">
    <cfRule type="containsText" dxfId="291" priority="1" operator="containsText" text="NA">
      <formula>NOT(ISERROR(SEARCH("NA",D29)))</formula>
    </cfRule>
    <cfRule type="cellIs" dxfId="290" priority="2" operator="between">
      <formula>-0.1</formula>
      <formula>0.1</formula>
    </cfRule>
  </conditionalFormatting>
  <pageMargins left="0.47244094488188998" right="0.47244094488188998" top="0.59055118110236204" bottom="0.59055118110236204" header="0.39370078740157499" footer="0.39370078740157499"/>
  <pageSetup scale="80" fitToHeight="0" orientation="landscape" r:id="rId4"/>
  <headerFooter alignWithMargins="0">
    <oddFooter>&amp;L&amp;8&amp;D  &amp;T&amp;R&amp;8March 2014, Version 0.2</oddFooter>
  </headerFooter>
  <legacyDrawing r:id="rId5"/>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indexed="52"/>
    <pageSetUpPr fitToPage="1"/>
  </sheetPr>
  <dimension ref="A1:AE358"/>
  <sheetViews>
    <sheetView tabSelected="1" zoomScale="98" zoomScaleNormal="98" workbookViewId="0">
      <pane xSplit="4" ySplit="7" topLeftCell="E8" activePane="bottomRight" state="frozen"/>
      <selection activeCell="Q53" sqref="P8:Q53"/>
      <selection pane="topRight" activeCell="Q53" sqref="P8:Q53"/>
      <selection pane="bottomLeft" activeCell="Q53" sqref="P8:Q53"/>
      <selection pane="bottomRight" activeCell="E43" sqref="E43"/>
    </sheetView>
  </sheetViews>
  <sheetFormatPr baseColWidth="10" defaultColWidth="9.140625" defaultRowHeight="12.75" x14ac:dyDescent="0.2"/>
  <cols>
    <col min="1" max="1" width="9.140625" style="164" hidden="1" customWidth="1"/>
    <col min="2" max="2" width="7.28515625" style="221" customWidth="1"/>
    <col min="3" max="3" width="56.7109375" style="164" customWidth="1"/>
    <col min="4" max="4" width="1.140625" style="164" customWidth="1"/>
    <col min="5" max="14" width="10" style="164" customWidth="1"/>
    <col min="15" max="15" width="3.28515625" style="164" customWidth="1"/>
    <col min="16" max="17" width="11.7109375" style="164" customWidth="1"/>
    <col min="18" max="31" width="9.140625" style="484" customWidth="1"/>
    <col min="32" max="32" width="9.140625" style="164" customWidth="1"/>
    <col min="33" max="16384" width="9.140625" style="164"/>
  </cols>
  <sheetData>
    <row r="1" spans="1:17" ht="14.25" x14ac:dyDescent="0.25">
      <c r="B1" s="513" t="str">
        <f>+Coverpage!A1</f>
        <v>GFSM2014_V1.5</v>
      </c>
      <c r="C1" s="514"/>
      <c r="D1" s="515"/>
      <c r="E1" s="516"/>
      <c r="F1" s="517"/>
      <c r="G1" s="771" t="str">
        <f>Reporting_Country_Name</f>
        <v>Colombia</v>
      </c>
      <c r="H1" s="771"/>
      <c r="I1" s="771"/>
      <c r="J1" s="771"/>
      <c r="K1" s="771"/>
      <c r="L1" s="771"/>
      <c r="M1" s="771"/>
      <c r="N1" s="661" t="str">
        <f>Reporting_Country_Code</f>
        <v>233</v>
      </c>
      <c r="O1" s="519"/>
      <c r="P1" s="653" t="s">
        <v>2731</v>
      </c>
      <c r="Q1" s="654"/>
    </row>
    <row r="2" spans="1:17" ht="14.25" x14ac:dyDescent="0.25">
      <c r="B2" s="513" t="s">
        <v>2880</v>
      </c>
      <c r="C2" s="582"/>
      <c r="D2" s="583"/>
      <c r="E2" s="523"/>
      <c r="F2" s="780" t="str">
        <f>"En "&amp;Coverpage!$I$15&amp;" de "&amp;Coverpage!$I$14&amp;" / El año fiscal termina en "&amp;Coverpage!$I$11&amp;" "&amp;Coverpage!$I$12</f>
        <v xml:space="preserve">En Billion de Colombian Pesos (COP) / El año fiscal termina en  </v>
      </c>
      <c r="G2" s="781"/>
      <c r="H2" s="781"/>
      <c r="I2" s="781"/>
      <c r="J2" s="781"/>
      <c r="K2" s="781"/>
      <c r="L2" s="781"/>
      <c r="M2" s="781"/>
      <c r="N2" s="781"/>
      <c r="O2" s="519"/>
      <c r="P2" s="655" t="s">
        <v>2732</v>
      </c>
      <c r="Q2" s="656"/>
    </row>
    <row r="3" spans="1:17" ht="12" customHeight="1" x14ac:dyDescent="0.25">
      <c r="B3" s="524"/>
      <c r="C3" s="525"/>
      <c r="D3" s="526"/>
      <c r="E3" s="527"/>
      <c r="F3" s="528"/>
      <c r="G3" s="784" t="s">
        <v>2726</v>
      </c>
      <c r="H3" s="784"/>
      <c r="I3" s="529" t="str">
        <f>Reporting_Period_Code</f>
        <v>2016</v>
      </c>
      <c r="J3" s="529"/>
      <c r="K3" s="528"/>
      <c r="L3" s="528"/>
      <c r="M3" s="530"/>
      <c r="N3" s="790" t="s">
        <v>2723</v>
      </c>
      <c r="O3" s="531"/>
      <c r="P3" s="168"/>
      <c r="Q3" s="168"/>
    </row>
    <row r="4" spans="1:17" ht="12" customHeight="1" x14ac:dyDescent="0.2">
      <c r="B4" s="794" t="s">
        <v>2879</v>
      </c>
      <c r="C4" s="795"/>
      <c r="D4" s="532"/>
      <c r="E4" s="787" t="s">
        <v>2727</v>
      </c>
      <c r="F4" s="788"/>
      <c r="G4" s="788"/>
      <c r="H4" s="789"/>
      <c r="I4" s="790" t="s">
        <v>2719</v>
      </c>
      <c r="J4" s="790" t="s">
        <v>2720</v>
      </c>
      <c r="K4" s="792" t="s">
        <v>2721</v>
      </c>
      <c r="L4" s="790" t="s">
        <v>2728</v>
      </c>
      <c r="M4" s="793" t="s">
        <v>2722</v>
      </c>
      <c r="N4" s="791"/>
      <c r="O4" s="531"/>
      <c r="P4" s="778" t="s">
        <v>2733</v>
      </c>
      <c r="Q4" s="779"/>
    </row>
    <row r="5" spans="1:17" ht="30" customHeight="1" x14ac:dyDescent="0.2">
      <c r="B5" s="794"/>
      <c r="C5" s="795"/>
      <c r="D5" s="532"/>
      <c r="E5" s="711" t="s">
        <v>2729</v>
      </c>
      <c r="F5" s="712" t="s">
        <v>2813</v>
      </c>
      <c r="G5" s="712" t="s">
        <v>2728</v>
      </c>
      <c r="H5" s="713" t="s">
        <v>2718</v>
      </c>
      <c r="I5" s="791"/>
      <c r="J5" s="791"/>
      <c r="K5" s="792"/>
      <c r="L5" s="791"/>
      <c r="M5" s="793"/>
      <c r="N5" s="791"/>
      <c r="O5" s="531"/>
      <c r="P5" s="668" t="s">
        <v>2734</v>
      </c>
      <c r="Q5" s="669" t="s">
        <v>2735</v>
      </c>
    </row>
    <row r="6" spans="1:17" ht="23.25" hidden="1" customHeight="1" x14ac:dyDescent="0.2">
      <c r="B6" s="572"/>
      <c r="C6" s="573"/>
      <c r="D6" s="532"/>
      <c r="E6" s="538" t="s">
        <v>1562</v>
      </c>
      <c r="F6" s="539" t="s">
        <v>1563</v>
      </c>
      <c r="G6" s="539" t="s">
        <v>1575</v>
      </c>
      <c r="H6" s="540" t="s">
        <v>634</v>
      </c>
      <c r="I6" s="539" t="s">
        <v>1564</v>
      </c>
      <c r="J6" s="539" t="s">
        <v>1574</v>
      </c>
      <c r="K6" s="540" t="s">
        <v>637</v>
      </c>
      <c r="L6" s="539" t="s">
        <v>1576</v>
      </c>
      <c r="M6" s="541" t="s">
        <v>1565</v>
      </c>
      <c r="N6" s="541" t="s">
        <v>1577</v>
      </c>
      <c r="O6" s="531"/>
      <c r="P6" s="171" t="s">
        <v>640</v>
      </c>
      <c r="Q6" s="172" t="s">
        <v>641</v>
      </c>
    </row>
    <row r="7" spans="1:17" ht="10.5" customHeight="1" x14ac:dyDescent="0.2">
      <c r="A7" s="143"/>
      <c r="B7" s="536"/>
      <c r="C7" s="537"/>
      <c r="D7" s="537"/>
      <c r="E7" s="538" t="s">
        <v>632</v>
      </c>
      <c r="F7" s="539" t="s">
        <v>633</v>
      </c>
      <c r="G7" s="540" t="s">
        <v>155</v>
      </c>
      <c r="H7" s="539" t="s">
        <v>634</v>
      </c>
      <c r="I7" s="540" t="s">
        <v>635</v>
      </c>
      <c r="J7" s="539" t="s">
        <v>636</v>
      </c>
      <c r="K7" s="540" t="s">
        <v>637</v>
      </c>
      <c r="L7" s="539" t="s">
        <v>156</v>
      </c>
      <c r="M7" s="541" t="s">
        <v>638</v>
      </c>
      <c r="N7" s="541" t="s">
        <v>639</v>
      </c>
      <c r="O7" s="531"/>
      <c r="P7" s="171" t="s">
        <v>640</v>
      </c>
      <c r="Q7" s="172" t="s">
        <v>641</v>
      </c>
    </row>
    <row r="8" spans="1:17" ht="15" customHeight="1" x14ac:dyDescent="0.25">
      <c r="A8" s="143" t="s">
        <v>1595</v>
      </c>
      <c r="B8" s="594" t="s">
        <v>57</v>
      </c>
      <c r="C8" s="595" t="s">
        <v>2881</v>
      </c>
      <c r="D8" s="595" t="s">
        <v>48</v>
      </c>
      <c r="E8" s="145">
        <f t="shared" ref="E8:F8" si="0">IF(OR(E9="NA",E42="NA",E52="NA",E62="NA"),"NA",IF(AND(E9="",E42="",E52="",E62=""),"",SUM(E9)+SUM(E42)+SUM(E52)+SUM(E62)))</f>
        <v>173439.89350200002</v>
      </c>
      <c r="F8" s="145">
        <f t="shared" si="0"/>
        <v>4702.7162149999995</v>
      </c>
      <c r="G8" s="145">
        <f>IF(OR(G9="NA",G52="NA",G62="NA"),"NA",IF(AND(G9="",G52="",G62=""),"",SUM(G9)+SUM(G42)+SUM(G52)+SUM(G62)))</f>
        <v>-3092.7434559999992</v>
      </c>
      <c r="H8" s="145">
        <f t="shared" ref="H8:K8" si="1">IF(OR(H9="NA",H42="NA",H52="NA",H62="NA"),"NA",IF(AND(H9="",H42="",H52="",H62=""),"",SUM(H9)+SUM(H42)+SUM(H52)+SUM(H62)))</f>
        <v>175049.90018200001</v>
      </c>
      <c r="I8" s="145">
        <f t="shared" si="1"/>
        <v>3491.5217659999989</v>
      </c>
      <c r="J8" s="145">
        <f t="shared" si="1"/>
        <v>30293.641395999999</v>
      </c>
      <c r="K8" s="145">
        <f t="shared" si="1"/>
        <v>67712.795551999996</v>
      </c>
      <c r="L8" s="145">
        <f>IF(OR(L9="NA",L52="NA",L62="NA"),"NA",IF(AND(L9="",L52="",L62=""),"",SUM(L9)+SUM(L42)+SUM(L52)+SUM(L62)))</f>
        <v>-56116.724443999992</v>
      </c>
      <c r="M8" s="145">
        <f t="shared" ref="M8:N8" si="2">IF(OR(M9="NA",M42="NA",M52="NA",M62="NA"),"NA",IF(AND(M9="",M42="",M52="",M62=""),"",SUM(M9)+SUM(M42)+SUM(M52)+SUM(M62)))</f>
        <v>220431.13445199997</v>
      </c>
      <c r="N8" s="145">
        <f t="shared" si="2"/>
        <v>178541.421948</v>
      </c>
      <c r="O8" s="546"/>
      <c r="P8" s="237">
        <f t="shared" ref="P8:P39" si="3">IF(OR(H8="NA",E8="NA",F8="NA",G8="NA"),"NA",SUM(H8)-SUM(E8:G8))</f>
        <v>3.3920999994734302E-2</v>
      </c>
      <c r="Q8" s="238">
        <f t="shared" ref="Q8:Q39" si="4">IF(OR(M8="NA",H8="NA",I8="NA",J8="NA",K8="NA",L8="NA"),"NA",SUM(M8)-SUM(H8:L8))</f>
        <v>0</v>
      </c>
    </row>
    <row r="9" spans="1:17" ht="15" customHeight="1" x14ac:dyDescent="0.25">
      <c r="A9" s="143" t="s">
        <v>1596</v>
      </c>
      <c r="B9" s="547" t="s">
        <v>991</v>
      </c>
      <c r="C9" s="548" t="s">
        <v>2882</v>
      </c>
      <c r="D9" s="548" t="s">
        <v>48</v>
      </c>
      <c r="E9" s="90">
        <f t="shared" ref="E9:G9" si="5">IF(OR(E10="NA",E14="NA",E15="NA",E21="NA",E34="NA",E41="NA"),"NA",IF(AND(E10="",E14="",E15="",E21="",E34="",E41=""),"",SUM(E10)+SUM(E14)+SUM(E15)+SUM(E21)+SUM(E34)+SUM(E41)))</f>
        <v>118258.00818700001</v>
      </c>
      <c r="F9" s="90">
        <f t="shared" si="5"/>
        <v>267.65703600000001</v>
      </c>
      <c r="G9" s="90">
        <f t="shared" si="5"/>
        <v>-40.992016</v>
      </c>
      <c r="H9" s="90">
        <f t="shared" ref="H9:L9" si="6">IF(OR(H10="NA",H14="NA",H15="NA",H21="NA",H34="NA",H41="NA"),"NA",IF(AND(H10="",H14="",H15="",H21="",H34="",H41=""),"",SUM(H10)+SUM(H14)+SUM(H15)+SUM(H21)+SUM(H34)+SUM(H41)))</f>
        <v>118484.70712800001</v>
      </c>
      <c r="I9" s="90">
        <f t="shared" si="6"/>
        <v>0</v>
      </c>
      <c r="J9" s="90">
        <f t="shared" si="6"/>
        <v>7609.9916949999997</v>
      </c>
      <c r="K9" s="90">
        <f t="shared" si="6"/>
        <v>20842.438086999999</v>
      </c>
      <c r="L9" s="90">
        <f t="shared" si="6"/>
        <v>-1090.3411530000001</v>
      </c>
      <c r="M9" s="90">
        <f t="shared" ref="M9:N9" si="7">IF(OR(M10="NA",M14="NA",M15="NA",M21="NA",M34="NA",M41="NA"),"NA",IF(AND(M10="",M14="",M15="",M21="",M34="",M41=""),"",SUM(M10)+SUM(M14)+SUM(M15)+SUM(M21)+SUM(M34)+SUM(M41)))</f>
        <v>145846.79575699999</v>
      </c>
      <c r="N9" s="90">
        <f t="shared" si="7"/>
        <v>118484.70712800001</v>
      </c>
      <c r="O9" s="546"/>
      <c r="P9" s="178">
        <f t="shared" si="3"/>
        <v>3.3920999994734302E-2</v>
      </c>
      <c r="Q9" s="179">
        <f t="shared" si="4"/>
        <v>-2.9103830456733704E-11</v>
      </c>
    </row>
    <row r="10" spans="1:17" ht="15" customHeight="1" x14ac:dyDescent="0.25">
      <c r="A10" s="143" t="s">
        <v>1597</v>
      </c>
      <c r="B10" s="547" t="s">
        <v>992</v>
      </c>
      <c r="C10" s="601" t="s">
        <v>2883</v>
      </c>
      <c r="D10" s="601" t="s">
        <v>48</v>
      </c>
      <c r="E10" s="89">
        <f t="shared" ref="E10:F10" si="8">IF(OR(E11="NA",E12="NA",E13="NA"),"NA",IF(AND(E11="",E12="",E13=""),"",SUM(E11:E13)))</f>
        <v>42424.760507999999</v>
      </c>
      <c r="F10" s="89">
        <f t="shared" si="8"/>
        <v>2.1017000000000001E-2</v>
      </c>
      <c r="G10" s="89">
        <f>IF(OR(G13="NA"),"NA",IF(AND(G13=""),"",SUM(G11:G13)))</f>
        <v>0</v>
      </c>
      <c r="H10" s="89">
        <f t="shared" ref="H10:K10" si="9">IF(OR(H11="NA",H12="NA",H13="NA"),"NA",IF(AND(H11="",H12="",H13=""),"",SUM(H11:H13)))</f>
        <v>42424.781524999999</v>
      </c>
      <c r="I10" s="89">
        <f t="shared" si="9"/>
        <v>0</v>
      </c>
      <c r="J10" s="89">
        <f t="shared" si="9"/>
        <v>36.151567</v>
      </c>
      <c r="K10" s="89">
        <f t="shared" si="9"/>
        <v>5.4782640000000002</v>
      </c>
      <c r="L10" s="89">
        <f>IF(OR(L13="NA"),"NA",IF(AND(L13=""),"",SUM(L11:L13)))</f>
        <v>0</v>
      </c>
      <c r="M10" s="89">
        <f t="shared" ref="M10:N10" si="10">IF(OR(M11="NA",M12="NA",M13="NA"),"NA",IF(AND(M11="",M12="",M13=""),"",SUM(M11:M13)))</f>
        <v>42466.411355999997</v>
      </c>
      <c r="N10" s="89">
        <f t="shared" si="10"/>
        <v>42424.781524999999</v>
      </c>
      <c r="O10" s="546"/>
      <c r="P10" s="178">
        <f t="shared" si="3"/>
        <v>0</v>
      </c>
      <c r="Q10" s="179">
        <f t="shared" si="4"/>
        <v>0</v>
      </c>
    </row>
    <row r="11" spans="1:17" ht="10.35" customHeight="1" x14ac:dyDescent="0.25">
      <c r="A11" s="143" t="s">
        <v>1598</v>
      </c>
      <c r="B11" s="549" t="s">
        <v>993</v>
      </c>
      <c r="C11" s="602" t="s">
        <v>2884</v>
      </c>
      <c r="D11" s="602" t="s">
        <v>48</v>
      </c>
      <c r="E11" s="89">
        <v>755.92870700000003</v>
      </c>
      <c r="F11" s="89">
        <v>0</v>
      </c>
      <c r="G11" s="617">
        <v>0</v>
      </c>
      <c r="H11" s="89">
        <f>IF(OR(E11="NA",F11="NA"),"NA",IF(AND(E11="",F11=""),"",SUM(E11:G11)))</f>
        <v>755.92870700000003</v>
      </c>
      <c r="I11" s="89">
        <v>0</v>
      </c>
      <c r="J11" s="89">
        <v>36.151567</v>
      </c>
      <c r="K11" s="89">
        <v>5.4782640000000002</v>
      </c>
      <c r="L11" s="617">
        <v>0</v>
      </c>
      <c r="M11" s="89">
        <f>IF(OR(H11="NA",I11="NA",J11="NA",K11="NA"),"NA",IF(AND(H11="",I11="",J11="",K11=""),"",SUM(H11:L11)))</f>
        <v>797.558538</v>
      </c>
      <c r="N11" s="89">
        <f>H11+I11</f>
        <v>755.92870700000003</v>
      </c>
      <c r="O11" s="546"/>
      <c r="P11" s="178">
        <f t="shared" si="3"/>
        <v>0</v>
      </c>
      <c r="Q11" s="179">
        <f t="shared" si="4"/>
        <v>0</v>
      </c>
    </row>
    <row r="12" spans="1:17" ht="10.35" customHeight="1" x14ac:dyDescent="0.25">
      <c r="A12" s="143" t="s">
        <v>1599</v>
      </c>
      <c r="B12" s="549" t="s">
        <v>994</v>
      </c>
      <c r="C12" s="602" t="s">
        <v>2885</v>
      </c>
      <c r="D12" s="602" t="s">
        <v>48</v>
      </c>
      <c r="E12" s="89">
        <v>41668.831801</v>
      </c>
      <c r="F12" s="89">
        <v>2.1017000000000001E-2</v>
      </c>
      <c r="G12" s="617">
        <v>0</v>
      </c>
      <c r="H12" s="89">
        <f>IF(OR(E12="NA",F12="NA"),"NA",IF(AND(E12="",F12=""),"",SUM(E12:G12)))</f>
        <v>41668.852817999999</v>
      </c>
      <c r="I12" s="89">
        <v>0</v>
      </c>
      <c r="J12" s="89">
        <v>0</v>
      </c>
      <c r="K12" s="89">
        <v>0</v>
      </c>
      <c r="L12" s="617">
        <v>0</v>
      </c>
      <c r="M12" s="89">
        <f>IF(OR(H12="NA",I12="NA",J12="NA",K12="NA"),"NA",IF(AND(H12="",I12="",J12="",K12=""),"",SUM(H12:L12)))</f>
        <v>41668.852817999999</v>
      </c>
      <c r="N12" s="89">
        <f>H12+I12</f>
        <v>41668.852817999999</v>
      </c>
      <c r="O12" s="546"/>
      <c r="P12" s="178">
        <f t="shared" si="3"/>
        <v>0</v>
      </c>
      <c r="Q12" s="179">
        <f t="shared" si="4"/>
        <v>0</v>
      </c>
    </row>
    <row r="13" spans="1:17" ht="10.35" customHeight="1" x14ac:dyDescent="0.25">
      <c r="A13" s="143" t="s">
        <v>1600</v>
      </c>
      <c r="B13" s="549" t="s">
        <v>995</v>
      </c>
      <c r="C13" s="602" t="s">
        <v>2886</v>
      </c>
      <c r="D13" s="602" t="s">
        <v>48</v>
      </c>
      <c r="E13" s="89">
        <v>0</v>
      </c>
      <c r="F13" s="89">
        <v>0</v>
      </c>
      <c r="G13" s="89">
        <v>0</v>
      </c>
      <c r="H13" s="89">
        <f t="shared" ref="H13:H20" si="11">IF(OR(E13="NA",F13="NA",G13="NA"),"NA",IF(AND(E13="",F13="",G13=""),"",SUM(E13:G13)))</f>
        <v>0</v>
      </c>
      <c r="I13" s="89">
        <v>0</v>
      </c>
      <c r="J13" s="89">
        <v>0</v>
      </c>
      <c r="K13" s="89">
        <v>0</v>
      </c>
      <c r="L13" s="89">
        <v>0</v>
      </c>
      <c r="M13" s="89">
        <f>IF(OR(H13="NA",I13="NA",J13="NA",K13="NA",L13="NA"),"NA",IF(AND(H13="",I13="",J13="",K13="",L13=""),"",SUM(H13:L13)))</f>
        <v>0</v>
      </c>
      <c r="N13" s="89">
        <f>H13+I13</f>
        <v>0</v>
      </c>
      <c r="O13" s="546"/>
      <c r="P13" s="178">
        <f t="shared" si="3"/>
        <v>0</v>
      </c>
      <c r="Q13" s="179">
        <f t="shared" si="4"/>
        <v>0</v>
      </c>
    </row>
    <row r="14" spans="1:17" ht="15" customHeight="1" x14ac:dyDescent="0.25">
      <c r="A14" s="143" t="s">
        <v>1601</v>
      </c>
      <c r="B14" s="547" t="s">
        <v>996</v>
      </c>
      <c r="C14" s="601" t="s">
        <v>2887</v>
      </c>
      <c r="D14" s="601" t="s">
        <v>48</v>
      </c>
      <c r="E14" s="89">
        <v>7805.7086440000003</v>
      </c>
      <c r="F14" s="89">
        <v>0</v>
      </c>
      <c r="G14" s="89">
        <v>-39.841470000000001</v>
      </c>
      <c r="H14" s="89">
        <f t="shared" si="11"/>
        <v>7765.867174</v>
      </c>
      <c r="I14" s="89">
        <v>0</v>
      </c>
      <c r="J14" s="89">
        <v>0</v>
      </c>
      <c r="K14" s="89">
        <v>3.4610000000000001E-3</v>
      </c>
      <c r="L14" s="89">
        <v>-763.56810199999995</v>
      </c>
      <c r="M14" s="89">
        <f>IF(OR(H14="NA",I14="NA",J14="NA",K14="NA",L14="NA"),"NA",IF(AND(H14="",I14="",J14="",K14="",L14=""),"",SUM(H14:L14)))</f>
        <v>7002.302533</v>
      </c>
      <c r="N14" s="89">
        <f>H14+I14</f>
        <v>7765.867174</v>
      </c>
      <c r="O14" s="546"/>
      <c r="P14" s="178">
        <f t="shared" si="3"/>
        <v>0</v>
      </c>
      <c r="Q14" s="179">
        <f t="shared" si="4"/>
        <v>0</v>
      </c>
    </row>
    <row r="15" spans="1:17" ht="15" customHeight="1" x14ac:dyDescent="0.25">
      <c r="A15" s="143" t="s">
        <v>1602</v>
      </c>
      <c r="B15" s="547" t="s">
        <v>997</v>
      </c>
      <c r="C15" s="601" t="s">
        <v>2888</v>
      </c>
      <c r="D15" s="601" t="s">
        <v>48</v>
      </c>
      <c r="E15" s="89">
        <f>IF(OR(E16="NA",E17="NA",E18="NA",E19="NA",E20="NA"),"NA",IF(AND(E16="",E17="",E18="",E19="",E20=""),"",SUM(E16:E20)))</f>
        <v>5921.7302049999998</v>
      </c>
      <c r="F15" s="89">
        <f>IF(OR(F16="NA",F17="NA",F18="NA",F19="NA",F20="NA"),"NA",IF(AND(F16="",F17="",F18="",F19="",F20=""),"",SUM(F16:F20)))</f>
        <v>123.10827</v>
      </c>
      <c r="G15" s="89">
        <f>IF(OR(G16="NA",G17="NA",G18="NA",G19="NA",G20="NA"),"NA",IF(AND(G16="",G17="",G18="",G19="",G20=""),"",SUM(G16:G20)))</f>
        <v>-1.116625</v>
      </c>
      <c r="H15" s="89">
        <f t="shared" si="11"/>
        <v>6043.7218499999999</v>
      </c>
      <c r="I15" s="89">
        <f t="shared" ref="I15:L15" si="12">IF(OR(I16="NA",I17="NA",I18="NA",I19="NA",I20="NA"),"NA",IF(AND(I16="",I17="",I18="",I19="",I20=""),"",SUM(I16:I20)))</f>
        <v>0</v>
      </c>
      <c r="J15" s="89">
        <f t="shared" si="12"/>
        <v>38.900748</v>
      </c>
      <c r="K15" s="89">
        <f t="shared" si="12"/>
        <v>8074.4413919999997</v>
      </c>
      <c r="L15" s="89">
        <f t="shared" si="12"/>
        <v>-283.47834899999998</v>
      </c>
      <c r="M15" s="89">
        <f t="shared" ref="M15:N15" si="13">IF(OR(M16="NA",M17="NA",M18="NA",M19="NA",M20="NA"),"NA",IF(AND(M16="",M17="",M18="",M19="",M20=""),"",SUM(M16:M20)))</f>
        <v>13873.585641</v>
      </c>
      <c r="N15" s="89">
        <f t="shared" si="13"/>
        <v>6043.7218499999999</v>
      </c>
      <c r="O15" s="546"/>
      <c r="P15" s="178">
        <f t="shared" si="3"/>
        <v>0</v>
      </c>
      <c r="Q15" s="179">
        <f t="shared" si="4"/>
        <v>1.8189894035458565E-12</v>
      </c>
    </row>
    <row r="16" spans="1:17" ht="10.35" customHeight="1" x14ac:dyDescent="0.25">
      <c r="A16" s="143" t="s">
        <v>1603</v>
      </c>
      <c r="B16" s="549" t="s">
        <v>998</v>
      </c>
      <c r="C16" s="602" t="s">
        <v>2889</v>
      </c>
      <c r="D16" s="602" t="s">
        <v>48</v>
      </c>
      <c r="E16" s="89">
        <v>821.93980899999997</v>
      </c>
      <c r="F16" s="89">
        <v>123.10827</v>
      </c>
      <c r="G16" s="89">
        <v>-1.116625</v>
      </c>
      <c r="H16" s="89">
        <f t="shared" si="11"/>
        <v>943.93145399999992</v>
      </c>
      <c r="I16" s="89">
        <v>0</v>
      </c>
      <c r="J16" s="89">
        <v>38.900748</v>
      </c>
      <c r="K16" s="89">
        <v>8074.4413919999997</v>
      </c>
      <c r="L16" s="89">
        <v>-283.47834899999998</v>
      </c>
      <c r="M16" s="89">
        <f>IF(OR(H16="NA",I16="NA",J16="NA",K16="NA",L16="NA"),"NA",IF(AND(H16="",I16="",J16="",K16="",L16=""),"",SUM(H16:L16)))</f>
        <v>8773.7952450000012</v>
      </c>
      <c r="N16" s="89">
        <f>H16+I16</f>
        <v>943.93145399999992</v>
      </c>
      <c r="O16" s="546"/>
      <c r="P16" s="178">
        <f t="shared" si="3"/>
        <v>0</v>
      </c>
      <c r="Q16" s="179">
        <f t="shared" si="4"/>
        <v>0</v>
      </c>
    </row>
    <row r="17" spans="1:17" ht="10.35" customHeight="1" x14ac:dyDescent="0.25">
      <c r="A17" s="143" t="s">
        <v>1604</v>
      </c>
      <c r="B17" s="549" t="s">
        <v>999</v>
      </c>
      <c r="C17" s="602" t="s">
        <v>2890</v>
      </c>
      <c r="D17" s="602" t="s">
        <v>48</v>
      </c>
      <c r="E17" s="89">
        <v>4572.2741329999999</v>
      </c>
      <c r="F17" s="89">
        <v>0</v>
      </c>
      <c r="G17" s="89">
        <v>0</v>
      </c>
      <c r="H17" s="89">
        <f t="shared" si="11"/>
        <v>4572.2741329999999</v>
      </c>
      <c r="I17" s="89">
        <v>0</v>
      </c>
      <c r="J17" s="89">
        <v>0</v>
      </c>
      <c r="K17" s="89">
        <v>0</v>
      </c>
      <c r="L17" s="89">
        <v>0</v>
      </c>
      <c r="M17" s="89">
        <f>IF(OR(H17="NA",I17="NA",J17="NA",K17="NA",L17="NA"),"NA",IF(AND(H17="",I17="",J17="",K17="",L17=""),"",SUM(H17:L17)))</f>
        <v>4572.2741329999999</v>
      </c>
      <c r="N17" s="89">
        <f>H17+I17</f>
        <v>4572.2741329999999</v>
      </c>
      <c r="O17" s="546"/>
      <c r="P17" s="178">
        <f t="shared" si="3"/>
        <v>0</v>
      </c>
      <c r="Q17" s="179">
        <f t="shared" si="4"/>
        <v>0</v>
      </c>
    </row>
    <row r="18" spans="1:17" ht="10.35" customHeight="1" x14ac:dyDescent="0.25">
      <c r="A18" s="143" t="s">
        <v>1605</v>
      </c>
      <c r="B18" s="549" t="s">
        <v>1000</v>
      </c>
      <c r="C18" s="602" t="s">
        <v>2891</v>
      </c>
      <c r="D18" s="602" t="s">
        <v>48</v>
      </c>
      <c r="E18" s="89">
        <v>0</v>
      </c>
      <c r="F18" s="89">
        <v>0</v>
      </c>
      <c r="G18" s="89">
        <v>0</v>
      </c>
      <c r="H18" s="89">
        <f t="shared" si="11"/>
        <v>0</v>
      </c>
      <c r="I18" s="89">
        <v>0</v>
      </c>
      <c r="J18" s="89">
        <v>0</v>
      </c>
      <c r="K18" s="89">
        <v>0</v>
      </c>
      <c r="L18" s="89">
        <v>0</v>
      </c>
      <c r="M18" s="89">
        <f>IF(OR(H18="NA",I18="NA",J18="NA",K18="NA",L18="NA"),"NA",IF(AND(H18="",I18="",J18="",K18="",L18=""),"",SUM(H18:L18)))</f>
        <v>0</v>
      </c>
      <c r="N18" s="89">
        <f>H18+I18</f>
        <v>0</v>
      </c>
      <c r="O18" s="546"/>
      <c r="P18" s="178">
        <f t="shared" si="3"/>
        <v>0</v>
      </c>
      <c r="Q18" s="179">
        <f t="shared" si="4"/>
        <v>0</v>
      </c>
    </row>
    <row r="19" spans="1:17" ht="10.35" customHeight="1" x14ac:dyDescent="0.25">
      <c r="A19" s="143" t="s">
        <v>2402</v>
      </c>
      <c r="B19" s="549" t="s">
        <v>1001</v>
      </c>
      <c r="C19" s="602" t="s">
        <v>2892</v>
      </c>
      <c r="D19" s="602" t="s">
        <v>48</v>
      </c>
      <c r="E19" s="89">
        <v>527.51626299999998</v>
      </c>
      <c r="F19" s="89">
        <v>0</v>
      </c>
      <c r="G19" s="89">
        <v>0</v>
      </c>
      <c r="H19" s="89">
        <f t="shared" si="11"/>
        <v>527.51626299999998</v>
      </c>
      <c r="I19" s="89">
        <v>0</v>
      </c>
      <c r="J19" s="89">
        <v>0</v>
      </c>
      <c r="K19" s="89">
        <v>0</v>
      </c>
      <c r="L19" s="89">
        <v>0</v>
      </c>
      <c r="M19" s="89">
        <f>IF(OR(H19="NA",I19="NA",J19="NA",K19="NA",L19="NA"),"NA",IF(AND(H19="",I19="",J19="",K19="",L19=""),"",SUM(H19:L19)))</f>
        <v>527.51626299999998</v>
      </c>
      <c r="N19" s="89">
        <f>H19+I19</f>
        <v>527.51626299999998</v>
      </c>
      <c r="O19" s="546"/>
      <c r="P19" s="178">
        <f t="shared" si="3"/>
        <v>0</v>
      </c>
      <c r="Q19" s="179">
        <f t="shared" si="4"/>
        <v>0</v>
      </c>
    </row>
    <row r="20" spans="1:17" ht="10.35" customHeight="1" x14ac:dyDescent="0.25">
      <c r="A20" s="143" t="s">
        <v>1606</v>
      </c>
      <c r="B20" s="549" t="s">
        <v>1002</v>
      </c>
      <c r="C20" s="602" t="s">
        <v>2893</v>
      </c>
      <c r="D20" s="602" t="s">
        <v>48</v>
      </c>
      <c r="E20" s="89">
        <v>0</v>
      </c>
      <c r="F20" s="89">
        <v>0</v>
      </c>
      <c r="G20" s="89">
        <v>0</v>
      </c>
      <c r="H20" s="89">
        <f t="shared" si="11"/>
        <v>0</v>
      </c>
      <c r="I20" s="89">
        <v>0</v>
      </c>
      <c r="J20" s="89">
        <v>0</v>
      </c>
      <c r="K20" s="89">
        <v>0</v>
      </c>
      <c r="L20" s="89">
        <v>0</v>
      </c>
      <c r="M20" s="89">
        <f>IF(OR(H20="NA",I20="NA",J20="NA",K20="NA",L20="NA"),"NA",IF(AND(H20="",I20="",J20="",K20="",L20=""),"",SUM(H20:L20)))</f>
        <v>0</v>
      </c>
      <c r="N20" s="89">
        <f>H20+I20</f>
        <v>0</v>
      </c>
      <c r="O20" s="546"/>
      <c r="P20" s="178">
        <f t="shared" si="3"/>
        <v>0</v>
      </c>
      <c r="Q20" s="179">
        <f t="shared" si="4"/>
        <v>0</v>
      </c>
    </row>
    <row r="21" spans="1:17" ht="15" customHeight="1" x14ac:dyDescent="0.25">
      <c r="A21" s="143" t="s">
        <v>1607</v>
      </c>
      <c r="B21" s="547" t="s">
        <v>1003</v>
      </c>
      <c r="C21" s="601" t="s">
        <v>2894</v>
      </c>
      <c r="D21" s="601" t="s">
        <v>48</v>
      </c>
      <c r="E21" s="89">
        <f t="shared" ref="E21:M21" si="14">IF(OR(E22="NA",E27="NA",E28="NA",E29="NA",E30="NA",E33="NA"),"NA",IF(AND(E22="",E27="",E28="",E29="",E30="",E33=""),"",SUM(E22)+SUM(E27:E30)+SUM(E33)))</f>
        <v>56800.799872000003</v>
      </c>
      <c r="F21" s="89">
        <f t="shared" si="14"/>
        <v>31.256656</v>
      </c>
      <c r="G21" s="89">
        <f t="shared" si="14"/>
        <v>-3.3921E-2</v>
      </c>
      <c r="H21" s="89">
        <f t="shared" si="14"/>
        <v>56832.056528000001</v>
      </c>
      <c r="I21" s="89">
        <f t="shared" si="14"/>
        <v>0</v>
      </c>
      <c r="J21" s="89">
        <f t="shared" si="14"/>
        <v>6387.7842069999997</v>
      </c>
      <c r="K21" s="89">
        <f t="shared" si="14"/>
        <v>11839.475257999999</v>
      </c>
      <c r="L21" s="89">
        <f t="shared" si="14"/>
        <v>-36.494925000000002</v>
      </c>
      <c r="M21" s="89">
        <f t="shared" si="14"/>
        <v>75022.821068000005</v>
      </c>
      <c r="N21" s="89">
        <f t="shared" ref="N21" si="15">IF(OR(N22="NA",N27="NA",N28="NA",N29="NA",N30="NA",N33="NA"),"NA",IF(AND(N22="",N27="",N28="",N29="",N30="",N33=""),"",SUM(N22)+SUM(N27:N30)+SUM(N33)))</f>
        <v>56832.056528000001</v>
      </c>
      <c r="O21" s="546"/>
      <c r="P21" s="178">
        <f t="shared" si="3"/>
        <v>3.392100000201026E-2</v>
      </c>
      <c r="Q21" s="179">
        <f t="shared" si="4"/>
        <v>1.4551915228366852E-11</v>
      </c>
    </row>
    <row r="22" spans="1:17" ht="10.35" customHeight="1" x14ac:dyDescent="0.25">
      <c r="A22" s="143" t="s">
        <v>1608</v>
      </c>
      <c r="B22" s="549" t="s">
        <v>1004</v>
      </c>
      <c r="C22" s="602" t="s">
        <v>2895</v>
      </c>
      <c r="D22" s="602" t="s">
        <v>48</v>
      </c>
      <c r="E22" s="89">
        <f t="shared" ref="E22:M22" si="16">IF(OR(E23="NA",E24="NA",E25="NA",E26="NA"),"NA",IF(AND(E23="",E24="",E25="",E26=""),"",SUM(E23:E26)))</f>
        <v>49019.514658</v>
      </c>
      <c r="F22" s="89">
        <f t="shared" si="16"/>
        <v>0</v>
      </c>
      <c r="G22" s="89">
        <f t="shared" si="16"/>
        <v>0</v>
      </c>
      <c r="H22" s="89">
        <f t="shared" si="16"/>
        <v>49019.514658</v>
      </c>
      <c r="I22" s="89">
        <f>IF(OR(I23="NA",I24="NA",I25="NA",I26="NA"),"NA",IF(AND(I23="",I24="",I25="",I26=""),"",SUM(I23:I26)))</f>
        <v>0</v>
      </c>
      <c r="J22" s="89">
        <f>IF(OR(J23="NA",J24="NA",J25="NA",J26="NA"),"NA",IF(AND(J23="",J24="",J25="",J26=""),"",SUM(J23:J26)))</f>
        <v>1517.2882589999999</v>
      </c>
      <c r="K22" s="89">
        <f t="shared" si="16"/>
        <v>7600.9818869999999</v>
      </c>
      <c r="L22" s="89">
        <f t="shared" si="16"/>
        <v>-6.1167550000000004</v>
      </c>
      <c r="M22" s="89">
        <f t="shared" si="16"/>
        <v>58131.668049</v>
      </c>
      <c r="N22" s="89">
        <f t="shared" ref="N22" si="17">IF(OR(N23="NA",N24="NA",N25="NA",N26="NA"),"NA",IF(AND(N23="",N24="",N25="",N26=""),"",SUM(N23:N26)))</f>
        <v>49019.514658</v>
      </c>
      <c r="O22" s="546"/>
      <c r="P22" s="178">
        <f t="shared" si="3"/>
        <v>0</v>
      </c>
      <c r="Q22" s="179">
        <f t="shared" si="4"/>
        <v>0</v>
      </c>
    </row>
    <row r="23" spans="1:17" ht="10.35" customHeight="1" x14ac:dyDescent="0.25">
      <c r="A23" s="143" t="s">
        <v>1609</v>
      </c>
      <c r="B23" s="549" t="s">
        <v>1005</v>
      </c>
      <c r="C23" s="603" t="s">
        <v>2896</v>
      </c>
      <c r="D23" s="603" t="s">
        <v>48</v>
      </c>
      <c r="E23" s="89">
        <v>41936.887589999998</v>
      </c>
      <c r="F23" s="89">
        <v>0</v>
      </c>
      <c r="G23" s="89">
        <v>0</v>
      </c>
      <c r="H23" s="89">
        <f t="shared" ref="H23:H29" si="18">IF(OR(E23="NA",F23="NA",G23="NA"),"NA",IF(AND(E23="",F23="",G23=""),"",SUM(E23:G23)))</f>
        <v>41936.887589999998</v>
      </c>
      <c r="I23" s="89">
        <v>0</v>
      </c>
      <c r="J23" s="89">
        <v>435.10866700000003</v>
      </c>
      <c r="K23" s="89">
        <v>33.108604999999997</v>
      </c>
      <c r="L23" s="89">
        <v>0</v>
      </c>
      <c r="M23" s="89">
        <f t="shared" ref="M23:M29" si="19">IF(OR(H23="NA",I23="NA",J23="NA",K23="NA",L23="NA"),"NA",IF(AND(H23="",I23="",J23="",K23="",L23=""),"",SUM(H23:L23)))</f>
        <v>42405.104862</v>
      </c>
      <c r="N23" s="89">
        <f t="shared" ref="N23:N29" si="20">H23+I23</f>
        <v>41936.887589999998</v>
      </c>
      <c r="O23" s="546"/>
      <c r="P23" s="178">
        <f t="shared" si="3"/>
        <v>0</v>
      </c>
      <c r="Q23" s="179">
        <f t="shared" si="4"/>
        <v>0</v>
      </c>
    </row>
    <row r="24" spans="1:17" ht="10.35" customHeight="1" x14ac:dyDescent="0.25">
      <c r="A24" s="143" t="s">
        <v>1610</v>
      </c>
      <c r="B24" s="549" t="s">
        <v>1006</v>
      </c>
      <c r="C24" s="603" t="s">
        <v>2897</v>
      </c>
      <c r="D24" s="603" t="s">
        <v>48</v>
      </c>
      <c r="E24" s="89">
        <v>0</v>
      </c>
      <c r="F24" s="89">
        <v>0</v>
      </c>
      <c r="G24" s="89">
        <v>0</v>
      </c>
      <c r="H24" s="89">
        <f t="shared" si="18"/>
        <v>0</v>
      </c>
      <c r="I24" s="89">
        <v>0</v>
      </c>
      <c r="J24" s="89">
        <v>10.906779</v>
      </c>
      <c r="K24" s="89">
        <v>7434.4722499999998</v>
      </c>
      <c r="L24" s="89">
        <v>-6.0384970000000004</v>
      </c>
      <c r="M24" s="89">
        <f t="shared" si="19"/>
        <v>7439.3405320000002</v>
      </c>
      <c r="N24" s="89">
        <f t="shared" si="20"/>
        <v>0</v>
      </c>
      <c r="O24" s="546"/>
      <c r="P24" s="178">
        <f t="shared" si="3"/>
        <v>0</v>
      </c>
      <c r="Q24" s="179">
        <f t="shared" si="4"/>
        <v>0</v>
      </c>
    </row>
    <row r="25" spans="1:17" ht="10.35" customHeight="1" x14ac:dyDescent="0.25">
      <c r="A25" s="143" t="s">
        <v>1611</v>
      </c>
      <c r="B25" s="549" t="s">
        <v>1007</v>
      </c>
      <c r="C25" s="603" t="s">
        <v>2898</v>
      </c>
      <c r="D25" s="603" t="s">
        <v>48</v>
      </c>
      <c r="E25" s="89">
        <v>0</v>
      </c>
      <c r="F25" s="89">
        <v>0</v>
      </c>
      <c r="G25" s="89">
        <v>0</v>
      </c>
      <c r="H25" s="89">
        <f t="shared" si="18"/>
        <v>0</v>
      </c>
      <c r="I25" s="89">
        <v>0</v>
      </c>
      <c r="J25" s="89">
        <v>0</v>
      </c>
      <c r="K25" s="89">
        <v>0</v>
      </c>
      <c r="L25" s="89">
        <v>0</v>
      </c>
      <c r="M25" s="89">
        <f t="shared" si="19"/>
        <v>0</v>
      </c>
      <c r="N25" s="89">
        <f t="shared" si="20"/>
        <v>0</v>
      </c>
      <c r="O25" s="546"/>
      <c r="P25" s="178">
        <f t="shared" si="3"/>
        <v>0</v>
      </c>
      <c r="Q25" s="179">
        <f t="shared" si="4"/>
        <v>0</v>
      </c>
    </row>
    <row r="26" spans="1:17" ht="10.35" customHeight="1" x14ac:dyDescent="0.25">
      <c r="A26" s="143" t="s">
        <v>1946</v>
      </c>
      <c r="B26" s="549" t="s">
        <v>1008</v>
      </c>
      <c r="C26" s="603" t="s">
        <v>2899</v>
      </c>
      <c r="D26" s="603" t="s">
        <v>48</v>
      </c>
      <c r="E26" s="89">
        <v>7082.6270679999998</v>
      </c>
      <c r="F26" s="89">
        <v>0</v>
      </c>
      <c r="G26" s="89">
        <v>0</v>
      </c>
      <c r="H26" s="89">
        <f>IF(OR(E26="NA",F26="NA",G26="NA"),"NA",IF(AND(E26="",F26="",G26=""),"",SUM(E26:G26)))</f>
        <v>7082.6270679999998</v>
      </c>
      <c r="I26" s="89">
        <v>0</v>
      </c>
      <c r="J26" s="89">
        <v>1071.272813</v>
      </c>
      <c r="K26" s="89">
        <v>133.40103199999999</v>
      </c>
      <c r="L26" s="89">
        <v>-7.8257999999999994E-2</v>
      </c>
      <c r="M26" s="89">
        <f>IF(OR(H26="NA",I26="NA",J26="NA",K26="NA",L26="NA"),"NA",IF(AND(H26="",I26="",J26="",K26="",L26=""),"",SUM(H26:L26)))</f>
        <v>8287.2226549999996</v>
      </c>
      <c r="N26" s="89">
        <f t="shared" si="20"/>
        <v>7082.6270679999998</v>
      </c>
      <c r="O26" s="546"/>
      <c r="P26" s="178">
        <f t="shared" si="3"/>
        <v>0</v>
      </c>
      <c r="Q26" s="179" t="e">
        <f>IF(OR(M26="NA",H26="NA",J26="NA",#REF!="NA",K26="NA",L26="NA"),"NA",SUM(M26)-SUM(H26:L26))</f>
        <v>#REF!</v>
      </c>
    </row>
    <row r="27" spans="1:17" ht="10.35" customHeight="1" x14ac:dyDescent="0.25">
      <c r="A27" s="143" t="s">
        <v>1612</v>
      </c>
      <c r="B27" s="549" t="s">
        <v>1009</v>
      </c>
      <c r="C27" s="602" t="s">
        <v>2900</v>
      </c>
      <c r="D27" s="602" t="s">
        <v>48</v>
      </c>
      <c r="E27" s="89">
        <v>3980.9959599999997</v>
      </c>
      <c r="F27" s="89">
        <v>0</v>
      </c>
      <c r="G27" s="89">
        <v>0</v>
      </c>
      <c r="H27" s="89">
        <f t="shared" si="18"/>
        <v>3980.9959599999997</v>
      </c>
      <c r="I27" s="89">
        <v>0</v>
      </c>
      <c r="J27" s="89">
        <v>3956.1529209999999</v>
      </c>
      <c r="K27" s="89">
        <v>2144.8009729999999</v>
      </c>
      <c r="L27" s="89">
        <v>0</v>
      </c>
      <c r="M27" s="89">
        <f t="shared" si="19"/>
        <v>10081.949853999999</v>
      </c>
      <c r="N27" s="89">
        <f t="shared" si="20"/>
        <v>3980.9959599999997</v>
      </c>
      <c r="O27" s="546"/>
      <c r="P27" s="178">
        <f t="shared" si="3"/>
        <v>0</v>
      </c>
      <c r="Q27" s="179">
        <f t="shared" si="4"/>
        <v>0</v>
      </c>
    </row>
    <row r="28" spans="1:17" ht="10.35" customHeight="1" x14ac:dyDescent="0.25">
      <c r="A28" s="143" t="s">
        <v>1613</v>
      </c>
      <c r="B28" s="549" t="s">
        <v>1010</v>
      </c>
      <c r="C28" s="602" t="s">
        <v>2901</v>
      </c>
      <c r="D28" s="602" t="s">
        <v>48</v>
      </c>
      <c r="E28" s="89">
        <v>265.329609</v>
      </c>
      <c r="F28" s="89">
        <v>0</v>
      </c>
      <c r="G28" s="89">
        <v>0</v>
      </c>
      <c r="H28" s="89">
        <f t="shared" si="18"/>
        <v>265.329609</v>
      </c>
      <c r="I28" s="89">
        <v>0</v>
      </c>
      <c r="J28" s="89">
        <v>143.85617300000001</v>
      </c>
      <c r="K28" s="89">
        <v>191.07481799999999</v>
      </c>
      <c r="L28" s="89">
        <v>-10.26356</v>
      </c>
      <c r="M28" s="89">
        <f t="shared" si="19"/>
        <v>589.99704000000008</v>
      </c>
      <c r="N28" s="89">
        <f t="shared" si="20"/>
        <v>265.329609</v>
      </c>
      <c r="O28" s="546"/>
      <c r="P28" s="178">
        <f t="shared" si="3"/>
        <v>0</v>
      </c>
      <c r="Q28" s="179">
        <f t="shared" si="4"/>
        <v>0</v>
      </c>
    </row>
    <row r="29" spans="1:17" ht="10.35" customHeight="1" x14ac:dyDescent="0.25">
      <c r="A29" s="143" t="s">
        <v>1614</v>
      </c>
      <c r="B29" s="549" t="s">
        <v>1011</v>
      </c>
      <c r="C29" s="602" t="s">
        <v>2902</v>
      </c>
      <c r="D29" s="602" t="s">
        <v>48</v>
      </c>
      <c r="E29" s="89">
        <v>3412.4223619999998</v>
      </c>
      <c r="F29" s="89">
        <v>0</v>
      </c>
      <c r="G29" s="89">
        <v>0</v>
      </c>
      <c r="H29" s="89">
        <f t="shared" si="18"/>
        <v>3412.4223619999998</v>
      </c>
      <c r="I29" s="89">
        <v>0</v>
      </c>
      <c r="J29" s="89">
        <v>150.59393499999999</v>
      </c>
      <c r="K29" s="89">
        <v>631.27874499999996</v>
      </c>
      <c r="L29" s="89">
        <v>-2.4175300000000002</v>
      </c>
      <c r="M29" s="89">
        <f t="shared" si="19"/>
        <v>4191.877512</v>
      </c>
      <c r="N29" s="89">
        <f t="shared" si="20"/>
        <v>3412.4223619999998</v>
      </c>
      <c r="O29" s="546"/>
      <c r="P29" s="178">
        <f t="shared" si="3"/>
        <v>0</v>
      </c>
      <c r="Q29" s="179">
        <f t="shared" si="4"/>
        <v>0</v>
      </c>
    </row>
    <row r="30" spans="1:17" ht="10.35" customHeight="1" x14ac:dyDescent="0.25">
      <c r="A30" s="143" t="s">
        <v>1615</v>
      </c>
      <c r="B30" s="549" t="s">
        <v>1012</v>
      </c>
      <c r="C30" s="602" t="s">
        <v>2903</v>
      </c>
      <c r="D30" s="602" t="s">
        <v>48</v>
      </c>
      <c r="E30" s="89">
        <f t="shared" ref="E30:F30" si="21">IF(OR(E31="NA",E32="NA"),"NA",IF(AND(E31="",E32=""),"",SUM(E31:E32)))</f>
        <v>94.518487999999991</v>
      </c>
      <c r="F30" s="89">
        <f t="shared" si="21"/>
        <v>31.256656</v>
      </c>
      <c r="G30" s="89">
        <v>-3.3921E-2</v>
      </c>
      <c r="H30" s="89">
        <f t="shared" ref="H30:L30" si="22">IF(OR(H31="NA",H32="NA"),"NA",IF(AND(H31="",H32=""),"",SUM(H31:H32)))</f>
        <v>125.775144</v>
      </c>
      <c r="I30" s="89">
        <f t="shared" si="22"/>
        <v>0</v>
      </c>
      <c r="J30" s="89">
        <f t="shared" si="22"/>
        <v>619.89291899999989</v>
      </c>
      <c r="K30" s="89">
        <f t="shared" si="22"/>
        <v>1250.5401449999999</v>
      </c>
      <c r="L30" s="89">
        <f t="shared" si="22"/>
        <v>-17.69708</v>
      </c>
      <c r="M30" s="89">
        <f t="shared" ref="M30:N30" si="23">IF(OR(M31="NA",M32="NA"),"NA",IF(AND(M31="",M32=""),"",SUM(M31:M32)))</f>
        <v>1978.5111280000001</v>
      </c>
      <c r="N30" s="89">
        <f t="shared" si="23"/>
        <v>125.775144</v>
      </c>
      <c r="O30" s="546"/>
      <c r="P30" s="178">
        <f t="shared" si="3"/>
        <v>3.392100000002074E-2</v>
      </c>
      <c r="Q30" s="179">
        <f t="shared" si="4"/>
        <v>2.2737367544323206E-13</v>
      </c>
    </row>
    <row r="31" spans="1:17" ht="10.35" customHeight="1" x14ac:dyDescent="0.25">
      <c r="A31" s="143" t="s">
        <v>1616</v>
      </c>
      <c r="B31" s="549" t="s">
        <v>1013</v>
      </c>
      <c r="C31" s="603" t="s">
        <v>2904</v>
      </c>
      <c r="D31" s="603" t="s">
        <v>48</v>
      </c>
      <c r="E31" s="89">
        <v>7.4935340000000004</v>
      </c>
      <c r="F31" s="89">
        <v>0</v>
      </c>
      <c r="G31" s="89">
        <v>0</v>
      </c>
      <c r="H31" s="89">
        <f>IF(OR(E31="NA",F31="NA",G31="NA"),"NA",IF(AND(E31="",F31="",G31=""),"",SUM(E31:G31)))</f>
        <v>7.4935340000000004</v>
      </c>
      <c r="I31" s="89">
        <v>0</v>
      </c>
      <c r="J31" s="89">
        <v>570.02469799999994</v>
      </c>
      <c r="K31" s="89">
        <v>770.81069500000001</v>
      </c>
      <c r="L31" s="89">
        <v>-10.177165</v>
      </c>
      <c r="M31" s="89">
        <f>IF(OR(H31="NA",I31="NA",J31="NA",K31="NA",L31="NA"),"NA",IF(AND(H31="",I31="",J31="",K31="",L31=""),"",SUM(H31:L31)))</f>
        <v>1338.151762</v>
      </c>
      <c r="N31" s="89">
        <f>H31+I31</f>
        <v>7.4935340000000004</v>
      </c>
      <c r="O31" s="546"/>
      <c r="P31" s="178">
        <f t="shared" si="3"/>
        <v>0</v>
      </c>
      <c r="Q31" s="179">
        <f t="shared" si="4"/>
        <v>0</v>
      </c>
    </row>
    <row r="32" spans="1:17" ht="10.35" customHeight="1" x14ac:dyDescent="0.25">
      <c r="A32" s="143" t="s">
        <v>1617</v>
      </c>
      <c r="B32" s="549" t="s">
        <v>1014</v>
      </c>
      <c r="C32" s="603" t="s">
        <v>2905</v>
      </c>
      <c r="D32" s="603" t="s">
        <v>48</v>
      </c>
      <c r="E32" s="89">
        <v>87.024953999999994</v>
      </c>
      <c r="F32" s="89">
        <v>31.256656</v>
      </c>
      <c r="G32" s="89">
        <v>0</v>
      </c>
      <c r="H32" s="89">
        <f>IF(OR(E32="NA",F32="NA",G32="NA"),"NA",IF(AND(E32="",F32="",G32=""),"",SUM(E32:G32)))</f>
        <v>118.28161</v>
      </c>
      <c r="I32" s="89">
        <v>0</v>
      </c>
      <c r="J32" s="89">
        <v>49.868220999999998</v>
      </c>
      <c r="K32" s="89">
        <v>479.72944999999999</v>
      </c>
      <c r="L32" s="89">
        <v>-7.5199150000000001</v>
      </c>
      <c r="M32" s="89">
        <f>IF(OR(H32="NA",I32="NA",J32="NA",K32="NA",L32="NA"),"NA",IF(AND(H32="",I32="",J32="",K32="",L32=""),"",SUM(H32:L32)))</f>
        <v>640.35936600000002</v>
      </c>
      <c r="N32" s="89">
        <f>H32+I32</f>
        <v>118.28161</v>
      </c>
      <c r="O32" s="546"/>
      <c r="P32" s="178">
        <f t="shared" si="3"/>
        <v>0</v>
      </c>
      <c r="Q32" s="179">
        <f t="shared" si="4"/>
        <v>0</v>
      </c>
    </row>
    <row r="33" spans="1:17" ht="10.35" customHeight="1" x14ac:dyDescent="0.25">
      <c r="A33" s="143" t="s">
        <v>1618</v>
      </c>
      <c r="B33" s="549" t="s">
        <v>1015</v>
      </c>
      <c r="C33" s="602" t="s">
        <v>2906</v>
      </c>
      <c r="D33" s="602" t="s">
        <v>48</v>
      </c>
      <c r="E33" s="89">
        <v>28.018795000000001</v>
      </c>
      <c r="F33" s="89">
        <v>0</v>
      </c>
      <c r="G33" s="89">
        <v>0</v>
      </c>
      <c r="H33" s="89">
        <f>IF(OR(E33="NA",F33="NA",G33="NA"),"NA",IF(AND(E33="",F33="",G33=""),"",SUM(E33:G33)))</f>
        <v>28.018795000000001</v>
      </c>
      <c r="I33" s="89">
        <v>0</v>
      </c>
      <c r="J33" s="89">
        <v>0</v>
      </c>
      <c r="K33" s="89">
        <v>20.798690000000001</v>
      </c>
      <c r="L33" s="89">
        <v>0</v>
      </c>
      <c r="M33" s="89">
        <f>IF(OR(H33="NA",I33="NA",J33="NA",K33="NA",L33="NA"),"NA",IF(AND(H33="",I33="",J33="",K33="",L33=""),"",SUM(H33:L33)))</f>
        <v>48.817485000000005</v>
      </c>
      <c r="N33" s="89">
        <f>H33+I33</f>
        <v>28.018795000000001</v>
      </c>
      <c r="O33" s="546"/>
      <c r="P33" s="178">
        <f t="shared" si="3"/>
        <v>0</v>
      </c>
      <c r="Q33" s="179">
        <f t="shared" si="4"/>
        <v>0</v>
      </c>
    </row>
    <row r="34" spans="1:17" ht="15" customHeight="1" x14ac:dyDescent="0.25">
      <c r="A34" s="143" t="s">
        <v>1619</v>
      </c>
      <c r="B34" s="547" t="s">
        <v>1016</v>
      </c>
      <c r="C34" s="601" t="s">
        <v>2907</v>
      </c>
      <c r="D34" s="601" t="s">
        <v>48</v>
      </c>
      <c r="E34" s="89">
        <f t="shared" ref="E34:G34" si="24">IF(OR(E35="NA",E36="NA",E37="NA",E38="NA",E39="NA",E40="NA"),"NA",IF(AND(E35="",E36="",E37="",E38="",E39="",E40=""),"",SUM(E35:E40)))</f>
        <v>5078.618665</v>
      </c>
      <c r="F34" s="89">
        <f t="shared" si="24"/>
        <v>0</v>
      </c>
      <c r="G34" s="89">
        <f t="shared" si="24"/>
        <v>0</v>
      </c>
      <c r="H34" s="89">
        <f t="shared" ref="H34:L34" si="25">IF(OR(H35="NA",H36="NA",H37="NA",H38="NA",H39="NA",H40="NA"),"NA",IF(AND(H35="",H36="",H37="",H38="",H39="",H40=""),"",SUM(H35:H40)))</f>
        <v>5078.618665</v>
      </c>
      <c r="I34" s="89">
        <f t="shared" si="25"/>
        <v>0</v>
      </c>
      <c r="J34" s="89">
        <f t="shared" si="25"/>
        <v>0</v>
      </c>
      <c r="K34" s="89">
        <f t="shared" si="25"/>
        <v>0</v>
      </c>
      <c r="L34" s="89">
        <f t="shared" si="25"/>
        <v>0</v>
      </c>
      <c r="M34" s="89">
        <f t="shared" ref="M34:N34" si="26">IF(OR(M35="NA",M36="NA",M37="NA",M38="NA",M39="NA",M40="NA"),"NA",IF(AND(M35="",M36="",M37="",M38="",M39="",M40=""),"",SUM(M35:M40)))</f>
        <v>5078.618665</v>
      </c>
      <c r="N34" s="89">
        <f t="shared" si="26"/>
        <v>5078.618665</v>
      </c>
      <c r="O34" s="546"/>
      <c r="P34" s="178">
        <f t="shared" si="3"/>
        <v>0</v>
      </c>
      <c r="Q34" s="179">
        <f t="shared" si="4"/>
        <v>0</v>
      </c>
    </row>
    <row r="35" spans="1:17" ht="10.35" customHeight="1" x14ac:dyDescent="0.25">
      <c r="A35" s="143" t="s">
        <v>1620</v>
      </c>
      <c r="B35" s="549" t="s">
        <v>1017</v>
      </c>
      <c r="C35" s="602" t="s">
        <v>2908</v>
      </c>
      <c r="D35" s="602" t="s">
        <v>48</v>
      </c>
      <c r="E35" s="89">
        <v>5078.618665</v>
      </c>
      <c r="F35" s="89">
        <v>0</v>
      </c>
      <c r="G35" s="89">
        <v>0</v>
      </c>
      <c r="H35" s="89">
        <f t="shared" ref="H35:H41" si="27">IF(OR(E35="NA",F35="NA",G35="NA"),"NA",IF(AND(E35="",F35="",G35=""),"",SUM(E35:G35)))</f>
        <v>5078.618665</v>
      </c>
      <c r="I35" s="89">
        <v>0</v>
      </c>
      <c r="J35" s="89">
        <v>0</v>
      </c>
      <c r="K35" s="89">
        <v>0</v>
      </c>
      <c r="L35" s="89">
        <v>0</v>
      </c>
      <c r="M35" s="89">
        <f t="shared" ref="M35:M41" si="28">IF(OR(H35="NA",I35="NA",J35="NA",K35="NA",L35="NA"),"NA",IF(AND(H35="",I35="",J35="",K35="",L35=""),"",SUM(H35:L35)))</f>
        <v>5078.618665</v>
      </c>
      <c r="N35" s="89">
        <f>H35+I35</f>
        <v>5078.618665</v>
      </c>
      <c r="O35" s="546"/>
      <c r="P35" s="178">
        <f t="shared" si="3"/>
        <v>0</v>
      </c>
      <c r="Q35" s="179">
        <f t="shared" si="4"/>
        <v>0</v>
      </c>
    </row>
    <row r="36" spans="1:17" ht="10.35" customHeight="1" x14ac:dyDescent="0.25">
      <c r="A36" s="143" t="s">
        <v>1621</v>
      </c>
      <c r="B36" s="549" t="s">
        <v>1018</v>
      </c>
      <c r="C36" s="602" t="s">
        <v>2909</v>
      </c>
      <c r="D36" s="602" t="s">
        <v>48</v>
      </c>
      <c r="E36" s="89">
        <v>0</v>
      </c>
      <c r="F36" s="89">
        <v>0</v>
      </c>
      <c r="G36" s="89">
        <v>0</v>
      </c>
      <c r="H36" s="89">
        <f t="shared" si="27"/>
        <v>0</v>
      </c>
      <c r="I36" s="89">
        <v>0</v>
      </c>
      <c r="J36" s="89">
        <v>0</v>
      </c>
      <c r="K36" s="89">
        <v>0</v>
      </c>
      <c r="L36" s="89">
        <v>0</v>
      </c>
      <c r="M36" s="89">
        <f t="shared" si="28"/>
        <v>0</v>
      </c>
      <c r="N36" s="89">
        <f t="shared" ref="N36:N40" si="29">H36+I36</f>
        <v>0</v>
      </c>
      <c r="O36" s="546"/>
      <c r="P36" s="178">
        <f t="shared" si="3"/>
        <v>0</v>
      </c>
      <c r="Q36" s="179">
        <f t="shared" si="4"/>
        <v>0</v>
      </c>
    </row>
    <row r="37" spans="1:17" ht="10.35" customHeight="1" x14ac:dyDescent="0.25">
      <c r="A37" s="143" t="s">
        <v>1622</v>
      </c>
      <c r="B37" s="549" t="s">
        <v>1019</v>
      </c>
      <c r="C37" s="602" t="s">
        <v>2910</v>
      </c>
      <c r="D37" s="602" t="s">
        <v>48</v>
      </c>
      <c r="E37" s="89">
        <v>0</v>
      </c>
      <c r="F37" s="89">
        <v>0</v>
      </c>
      <c r="G37" s="89">
        <v>0</v>
      </c>
      <c r="H37" s="89">
        <f t="shared" si="27"/>
        <v>0</v>
      </c>
      <c r="I37" s="89">
        <v>0</v>
      </c>
      <c r="J37" s="89">
        <v>0</v>
      </c>
      <c r="K37" s="89">
        <v>0</v>
      </c>
      <c r="L37" s="89">
        <v>0</v>
      </c>
      <c r="M37" s="89">
        <f t="shared" si="28"/>
        <v>0</v>
      </c>
      <c r="N37" s="89">
        <f t="shared" si="29"/>
        <v>0</v>
      </c>
      <c r="O37" s="546"/>
      <c r="P37" s="178">
        <f t="shared" si="3"/>
        <v>0</v>
      </c>
      <c r="Q37" s="179">
        <f t="shared" si="4"/>
        <v>0</v>
      </c>
    </row>
    <row r="38" spans="1:17" ht="10.35" customHeight="1" x14ac:dyDescent="0.25">
      <c r="A38" s="143" t="s">
        <v>1623</v>
      </c>
      <c r="B38" s="549" t="s">
        <v>1020</v>
      </c>
      <c r="C38" s="602" t="s">
        <v>2911</v>
      </c>
      <c r="D38" s="602" t="s">
        <v>48</v>
      </c>
      <c r="E38" s="89">
        <v>0</v>
      </c>
      <c r="F38" s="89">
        <v>0</v>
      </c>
      <c r="G38" s="89">
        <v>0</v>
      </c>
      <c r="H38" s="89">
        <f t="shared" si="27"/>
        <v>0</v>
      </c>
      <c r="I38" s="89">
        <v>0</v>
      </c>
      <c r="J38" s="89">
        <v>0</v>
      </c>
      <c r="K38" s="89">
        <v>0</v>
      </c>
      <c r="L38" s="89">
        <v>0</v>
      </c>
      <c r="M38" s="89">
        <f t="shared" si="28"/>
        <v>0</v>
      </c>
      <c r="N38" s="89">
        <f t="shared" si="29"/>
        <v>0</v>
      </c>
      <c r="O38" s="546"/>
      <c r="P38" s="178">
        <f t="shared" si="3"/>
        <v>0</v>
      </c>
      <c r="Q38" s="179">
        <f t="shared" si="4"/>
        <v>0</v>
      </c>
    </row>
    <row r="39" spans="1:17" ht="10.35" customHeight="1" x14ac:dyDescent="0.25">
      <c r="A39" s="143" t="s">
        <v>1624</v>
      </c>
      <c r="B39" s="549" t="s">
        <v>1021</v>
      </c>
      <c r="C39" s="602" t="s">
        <v>2912</v>
      </c>
      <c r="D39" s="602" t="s">
        <v>48</v>
      </c>
      <c r="E39" s="89">
        <v>0</v>
      </c>
      <c r="F39" s="89">
        <v>0</v>
      </c>
      <c r="G39" s="89">
        <v>0</v>
      </c>
      <c r="H39" s="89">
        <f t="shared" si="27"/>
        <v>0</v>
      </c>
      <c r="I39" s="89">
        <v>0</v>
      </c>
      <c r="J39" s="89">
        <v>0</v>
      </c>
      <c r="K39" s="89">
        <v>0</v>
      </c>
      <c r="L39" s="89">
        <v>0</v>
      </c>
      <c r="M39" s="89">
        <f t="shared" si="28"/>
        <v>0</v>
      </c>
      <c r="N39" s="89">
        <f t="shared" si="29"/>
        <v>0</v>
      </c>
      <c r="O39" s="546"/>
      <c r="P39" s="178">
        <f t="shared" si="3"/>
        <v>0</v>
      </c>
      <c r="Q39" s="179">
        <f t="shared" si="4"/>
        <v>0</v>
      </c>
    </row>
    <row r="40" spans="1:17" ht="10.35" customHeight="1" x14ac:dyDescent="0.25">
      <c r="A40" s="143" t="s">
        <v>1625</v>
      </c>
      <c r="B40" s="549" t="s">
        <v>1022</v>
      </c>
      <c r="C40" s="602" t="s">
        <v>2913</v>
      </c>
      <c r="D40" s="602" t="s">
        <v>48</v>
      </c>
      <c r="E40" s="89">
        <v>0</v>
      </c>
      <c r="F40" s="89">
        <v>0</v>
      </c>
      <c r="G40" s="89">
        <v>0</v>
      </c>
      <c r="H40" s="89">
        <f t="shared" si="27"/>
        <v>0</v>
      </c>
      <c r="I40" s="89">
        <v>0</v>
      </c>
      <c r="J40" s="89">
        <v>0</v>
      </c>
      <c r="K40" s="89">
        <v>0</v>
      </c>
      <c r="L40" s="89">
        <v>0</v>
      </c>
      <c r="M40" s="89">
        <f t="shared" si="28"/>
        <v>0</v>
      </c>
      <c r="N40" s="89">
        <f t="shared" si="29"/>
        <v>0</v>
      </c>
      <c r="O40" s="546"/>
      <c r="P40" s="178">
        <f t="shared" ref="P40:P71" si="30">IF(OR(H40="NA",E40="NA",F40="NA",G40="NA"),"NA",SUM(H40)-SUM(E40:G40))</f>
        <v>0</v>
      </c>
      <c r="Q40" s="179">
        <f t="shared" ref="Q40:Q71" si="31">IF(OR(M40="NA",H40="NA",I40="NA",J40="NA",K40="NA",L40="NA"),"NA",SUM(M40)-SUM(H40:L40))</f>
        <v>0</v>
      </c>
    </row>
    <row r="41" spans="1:17" ht="15" customHeight="1" x14ac:dyDescent="0.25">
      <c r="A41" s="143" t="s">
        <v>1626</v>
      </c>
      <c r="B41" s="599" t="s">
        <v>1023</v>
      </c>
      <c r="C41" s="604" t="s">
        <v>2914</v>
      </c>
      <c r="D41" s="604" t="s">
        <v>48</v>
      </c>
      <c r="E41" s="148">
        <v>226.39029300000001</v>
      </c>
      <c r="F41" s="148">
        <v>113.27109299999999</v>
      </c>
      <c r="G41" s="148">
        <v>0</v>
      </c>
      <c r="H41" s="148">
        <f t="shared" si="27"/>
        <v>339.66138599999999</v>
      </c>
      <c r="I41" s="148">
        <v>0</v>
      </c>
      <c r="J41" s="148">
        <v>1147.1551730000001</v>
      </c>
      <c r="K41" s="148">
        <v>923.03971200000001</v>
      </c>
      <c r="L41" s="148">
        <v>-6.7997770000001765</v>
      </c>
      <c r="M41" s="148">
        <f t="shared" si="28"/>
        <v>2403.0564939999999</v>
      </c>
      <c r="N41" s="148">
        <f>H41+I41</f>
        <v>339.66138599999999</v>
      </c>
      <c r="O41" s="546"/>
      <c r="P41" s="181">
        <f t="shared" si="30"/>
        <v>0</v>
      </c>
      <c r="Q41" s="182">
        <f t="shared" si="31"/>
        <v>0</v>
      </c>
    </row>
    <row r="42" spans="1:17" ht="15" customHeight="1" x14ac:dyDescent="0.25">
      <c r="A42" s="143" t="s">
        <v>1627</v>
      </c>
      <c r="B42" s="547" t="s">
        <v>192</v>
      </c>
      <c r="C42" s="548" t="s">
        <v>2915</v>
      </c>
      <c r="D42" s="548" t="s">
        <v>48</v>
      </c>
      <c r="E42" s="90">
        <f t="shared" ref="E42:F42" si="32">IF(OR(E43="NA",E48="NA"),"NA",IF(AND(E43="",E48=""),"",SUM(E43)+SUM(E48)))</f>
        <v>15658.961817000001</v>
      </c>
      <c r="F42" s="90">
        <f t="shared" si="32"/>
        <v>69.824678000000006</v>
      </c>
      <c r="G42" s="617">
        <v>0</v>
      </c>
      <c r="H42" s="90">
        <f t="shared" ref="H42:K42" si="33">IF(OR(H43="NA",H48="NA"),"NA",IF(AND(H43="",H48=""),"",SUM(H43)+SUM(H48)))</f>
        <v>15728.786495</v>
      </c>
      <c r="I42" s="90">
        <f t="shared" si="33"/>
        <v>0</v>
      </c>
      <c r="J42" s="90">
        <f t="shared" si="33"/>
        <v>0.28147</v>
      </c>
      <c r="K42" s="90">
        <f t="shared" si="33"/>
        <v>0</v>
      </c>
      <c r="L42" s="617">
        <v>0</v>
      </c>
      <c r="M42" s="90">
        <f t="shared" ref="M42:N42" si="34">IF(OR(M43="NA",M48="NA"),"NA",IF(AND(M43="",M48=""),"",SUM(M43)+SUM(M48)))</f>
        <v>15729.067965</v>
      </c>
      <c r="N42" s="90">
        <f t="shared" si="34"/>
        <v>15728.786495</v>
      </c>
      <c r="O42" s="546"/>
      <c r="P42" s="178">
        <f t="shared" si="30"/>
        <v>-1.8189894035458565E-12</v>
      </c>
      <c r="Q42" s="179">
        <f t="shared" si="31"/>
        <v>0</v>
      </c>
    </row>
    <row r="43" spans="1:17" ht="15" customHeight="1" x14ac:dyDescent="0.25">
      <c r="A43" s="143" t="s">
        <v>1947</v>
      </c>
      <c r="B43" s="547" t="s">
        <v>1024</v>
      </c>
      <c r="C43" s="601" t="s">
        <v>2916</v>
      </c>
      <c r="D43" s="601" t="s">
        <v>48</v>
      </c>
      <c r="E43" s="89">
        <f t="shared" ref="E43:F43" si="35">IF(OR(E44="NA",E45="NA",E46="NA",E47="NA"),"NA",IF(AND(E44="",E45="",E46="",E47=""),"",SUM(E44:E47)))</f>
        <v>14945.412345000001</v>
      </c>
      <c r="F43" s="89">
        <f t="shared" si="35"/>
        <v>0</v>
      </c>
      <c r="G43" s="617">
        <v>0</v>
      </c>
      <c r="H43" s="89">
        <f t="shared" ref="H43:K43" si="36">IF(OR(H44="NA",H45="NA",H46="NA",H47="NA"),"NA",IF(AND(H44="",H45="",H46="",H47=""),"",SUM(H44:H47)))</f>
        <v>14945.412345000001</v>
      </c>
      <c r="I43" s="89">
        <f t="shared" si="36"/>
        <v>0</v>
      </c>
      <c r="J43" s="89">
        <f t="shared" si="36"/>
        <v>0</v>
      </c>
      <c r="K43" s="89">
        <f t="shared" si="36"/>
        <v>0</v>
      </c>
      <c r="L43" s="617">
        <v>0</v>
      </c>
      <c r="M43" s="89">
        <f t="shared" ref="M43:N43" si="37">IF(OR(M44="NA",M45="NA",M46="NA",M47="NA"),"NA",IF(AND(M44="",M45="",M46="",M47=""),"",SUM(M44:M47)))</f>
        <v>14945.412345000001</v>
      </c>
      <c r="N43" s="89">
        <f t="shared" si="37"/>
        <v>14945.412345000001</v>
      </c>
      <c r="O43" s="546"/>
      <c r="P43" s="178">
        <f t="shared" si="30"/>
        <v>0</v>
      </c>
      <c r="Q43" s="179">
        <f t="shared" si="31"/>
        <v>0</v>
      </c>
    </row>
    <row r="44" spans="1:17" ht="10.35" customHeight="1" x14ac:dyDescent="0.25">
      <c r="A44" s="143" t="s">
        <v>1628</v>
      </c>
      <c r="B44" s="549" t="s">
        <v>1025</v>
      </c>
      <c r="C44" s="602" t="s">
        <v>2917</v>
      </c>
      <c r="D44" s="602" t="s">
        <v>48</v>
      </c>
      <c r="E44" s="89">
        <v>680.55099099999995</v>
      </c>
      <c r="F44" s="89">
        <v>0</v>
      </c>
      <c r="G44" s="617">
        <v>0</v>
      </c>
      <c r="H44" s="89">
        <f>IF(OR(E44="NA",F44="NA"),"NA",IF(AND(E44="",F44=""),"",SUM(E44:G44)))</f>
        <v>680.55099099999995</v>
      </c>
      <c r="I44" s="89">
        <v>0</v>
      </c>
      <c r="J44" s="89">
        <v>0</v>
      </c>
      <c r="K44" s="89">
        <v>0</v>
      </c>
      <c r="L44" s="617">
        <v>0</v>
      </c>
      <c r="M44" s="89">
        <f>IF(OR(H44="NA",I44="NA",J44="NA",K44="NA"),"NA",IF(AND(H44="",I44="",J44="",K44=""),"",SUM(H44:L44)))</f>
        <v>680.55099099999995</v>
      </c>
      <c r="N44" s="89">
        <f>H44+I44</f>
        <v>680.55099099999995</v>
      </c>
      <c r="O44" s="546"/>
      <c r="P44" s="178">
        <f t="shared" si="30"/>
        <v>0</v>
      </c>
      <c r="Q44" s="179">
        <f t="shared" si="31"/>
        <v>0</v>
      </c>
    </row>
    <row r="45" spans="1:17" ht="10.35" customHeight="1" x14ac:dyDescent="0.25">
      <c r="A45" s="143" t="s">
        <v>1629</v>
      </c>
      <c r="B45" s="549" t="s">
        <v>1026</v>
      </c>
      <c r="C45" s="602" t="s">
        <v>2918</v>
      </c>
      <c r="D45" s="602" t="s">
        <v>48</v>
      </c>
      <c r="E45" s="89">
        <v>86.459046999999998</v>
      </c>
      <c r="F45" s="89">
        <v>0</v>
      </c>
      <c r="G45" s="617">
        <v>0</v>
      </c>
      <c r="H45" s="89">
        <f t="shared" ref="H45:H51" si="38">IF(OR(E45="NA",F45="NA"),"NA",IF(AND(E45="",F45=""),"",SUM(E45:G45)))</f>
        <v>86.459046999999998</v>
      </c>
      <c r="I45" s="89">
        <v>0</v>
      </c>
      <c r="J45" s="89">
        <v>0</v>
      </c>
      <c r="K45" s="89">
        <v>0</v>
      </c>
      <c r="L45" s="617">
        <v>0</v>
      </c>
      <c r="M45" s="89">
        <f>IF(OR(H45="NA",I45="NA",J45="NA",K45="NA"),"NA",IF(AND(H45="",I45="",J45="",K45=""),"",SUM(H45:L45)))</f>
        <v>86.459046999999998</v>
      </c>
      <c r="N45" s="89">
        <f t="shared" ref="N45:N47" si="39">H45+I45</f>
        <v>86.459046999999998</v>
      </c>
      <c r="O45" s="546"/>
      <c r="P45" s="178">
        <f t="shared" si="30"/>
        <v>0</v>
      </c>
      <c r="Q45" s="179">
        <f t="shared" si="31"/>
        <v>0</v>
      </c>
    </row>
    <row r="46" spans="1:17" ht="10.35" customHeight="1" x14ac:dyDescent="0.25">
      <c r="A46" s="143" t="s">
        <v>1630</v>
      </c>
      <c r="B46" s="549" t="s">
        <v>1027</v>
      </c>
      <c r="C46" s="602" t="s">
        <v>2919</v>
      </c>
      <c r="D46" s="602" t="s">
        <v>48</v>
      </c>
      <c r="E46" s="89">
        <v>0</v>
      </c>
      <c r="F46" s="89">
        <v>0</v>
      </c>
      <c r="G46" s="617">
        <v>0</v>
      </c>
      <c r="H46" s="89">
        <f t="shared" si="38"/>
        <v>0</v>
      </c>
      <c r="I46" s="89">
        <v>0</v>
      </c>
      <c r="J46" s="89">
        <v>0</v>
      </c>
      <c r="K46" s="89">
        <v>0</v>
      </c>
      <c r="L46" s="617">
        <v>0</v>
      </c>
      <c r="M46" s="89">
        <f>IF(OR(H46="NA",I46="NA",J46="NA",K46="NA"),"NA",IF(AND(H46="",I46="",J46="",K46=""),"",SUM(H46:L46)))</f>
        <v>0</v>
      </c>
      <c r="N46" s="89">
        <f t="shared" si="39"/>
        <v>0</v>
      </c>
      <c r="O46" s="546"/>
      <c r="P46" s="178">
        <f t="shared" si="30"/>
        <v>0</v>
      </c>
      <c r="Q46" s="179">
        <f t="shared" si="31"/>
        <v>0</v>
      </c>
    </row>
    <row r="47" spans="1:17" ht="10.35" customHeight="1" x14ac:dyDescent="0.25">
      <c r="A47" s="143" t="s">
        <v>1631</v>
      </c>
      <c r="B47" s="549" t="s">
        <v>1028</v>
      </c>
      <c r="C47" s="602" t="s">
        <v>2920</v>
      </c>
      <c r="D47" s="602" t="s">
        <v>48</v>
      </c>
      <c r="E47" s="89">
        <v>14178.402307</v>
      </c>
      <c r="F47" s="89">
        <v>0</v>
      </c>
      <c r="G47" s="617">
        <v>0</v>
      </c>
      <c r="H47" s="89">
        <f t="shared" si="38"/>
        <v>14178.402307</v>
      </c>
      <c r="I47" s="89">
        <v>0</v>
      </c>
      <c r="J47" s="89">
        <v>0</v>
      </c>
      <c r="K47" s="89">
        <v>0</v>
      </c>
      <c r="L47" s="617">
        <v>0</v>
      </c>
      <c r="M47" s="89">
        <f>IF(OR(H47="NA",I47="NA",J47="NA",K47="NA"),"NA",IF(AND(H47="",I47="",J47="",K47=""),"",SUM(H47:L47)))</f>
        <v>14178.402307</v>
      </c>
      <c r="N47" s="89">
        <f t="shared" si="39"/>
        <v>14178.402307</v>
      </c>
      <c r="O47" s="546"/>
      <c r="P47" s="178">
        <f t="shared" si="30"/>
        <v>0</v>
      </c>
      <c r="Q47" s="179">
        <f t="shared" si="31"/>
        <v>0</v>
      </c>
    </row>
    <row r="48" spans="1:17" ht="15" customHeight="1" x14ac:dyDescent="0.25">
      <c r="A48" s="143" t="s">
        <v>1948</v>
      </c>
      <c r="B48" s="547" t="s">
        <v>1029</v>
      </c>
      <c r="C48" s="601" t="s">
        <v>2921</v>
      </c>
      <c r="D48" s="601" t="s">
        <v>48</v>
      </c>
      <c r="E48" s="89">
        <f>IF(OR(E49="NA",E50="NA",),"NA",IF(AND(E49="",E50="",E51=""),"",SUM(E49:E51)))</f>
        <v>713.54947200000004</v>
      </c>
      <c r="F48" s="89">
        <f>IF(OR(F49="NA",F50="NA",),"NA",IF(AND(F49="",F50="",F51=""),"",SUM(F49:F51)))</f>
        <v>69.824678000000006</v>
      </c>
      <c r="G48" s="617">
        <v>0</v>
      </c>
      <c r="H48" s="89">
        <f>IF(OR(H49="NA",H50="NA",),"NA",IF(AND(H49="",H50="",H51=""),"",SUM(H49:H51)))</f>
        <v>783.3741500000001</v>
      </c>
      <c r="I48" s="89">
        <f>IF(OR(I49="NA",I50="NA",),"NA",IF(AND(I49="",I50="",I51=""),"",SUM(I49:I51)))</f>
        <v>0</v>
      </c>
      <c r="J48" s="89">
        <f>IF(OR(J49="NA",J50="NA",),"NA",IF(AND(J49="",J50="",J51=""),"",SUM(J49:J51)))</f>
        <v>0.28147</v>
      </c>
      <c r="K48" s="89">
        <f>IF(OR(K49="NA",K50="NA",),"NA",IF(AND(K49="",K50="",K51=""),"",SUM(K49:K51)))</f>
        <v>0</v>
      </c>
      <c r="L48" s="617">
        <v>0</v>
      </c>
      <c r="M48" s="89">
        <f>IF(OR(M49="NA",M50="NA",),"NA",IF(AND(M49="",M50="",M51=""),"",SUM(M49:M51)))</f>
        <v>783.65562000000011</v>
      </c>
      <c r="N48" s="89">
        <f>IF(OR(N49="NA",N50="NA",),"NA",IF(AND(N49="",N50="",N51=""),"",SUM(N49:N51)))</f>
        <v>783.3741500000001</v>
      </c>
      <c r="O48" s="546"/>
      <c r="P48" s="178">
        <f t="shared" si="30"/>
        <v>0</v>
      </c>
      <c r="Q48" s="179">
        <f t="shared" si="31"/>
        <v>0</v>
      </c>
    </row>
    <row r="49" spans="1:17" ht="10.35" customHeight="1" x14ac:dyDescent="0.25">
      <c r="A49" s="143" t="s">
        <v>1632</v>
      </c>
      <c r="B49" s="549" t="s">
        <v>1030</v>
      </c>
      <c r="C49" s="602" t="s">
        <v>2917</v>
      </c>
      <c r="D49" s="602" t="s">
        <v>48</v>
      </c>
      <c r="E49" s="89">
        <v>0</v>
      </c>
      <c r="F49" s="89">
        <v>0</v>
      </c>
      <c r="G49" s="617">
        <v>0</v>
      </c>
      <c r="H49" s="89">
        <f t="shared" si="38"/>
        <v>0</v>
      </c>
      <c r="I49" s="89">
        <v>0</v>
      </c>
      <c r="J49" s="89">
        <v>0</v>
      </c>
      <c r="K49" s="89">
        <v>0</v>
      </c>
      <c r="L49" s="617">
        <v>0</v>
      </c>
      <c r="M49" s="89">
        <f>IF(OR(H49="NA",I49="NA",J49="NA",K49="NA"),"NA",IF(AND(H49="",I49="",J49="",K49=""),"",SUM(H49:L49)))</f>
        <v>0</v>
      </c>
      <c r="N49" s="89">
        <f>H49+I49</f>
        <v>0</v>
      </c>
      <c r="O49" s="546"/>
      <c r="P49" s="178">
        <f t="shared" si="30"/>
        <v>0</v>
      </c>
      <c r="Q49" s="179">
        <f t="shared" si="31"/>
        <v>0</v>
      </c>
    </row>
    <row r="50" spans="1:17" ht="10.35" customHeight="1" x14ac:dyDescent="0.25">
      <c r="A50" s="143" t="s">
        <v>1633</v>
      </c>
      <c r="B50" s="549" t="s">
        <v>1031</v>
      </c>
      <c r="C50" s="602" t="s">
        <v>2918</v>
      </c>
      <c r="D50" s="602" t="s">
        <v>48</v>
      </c>
      <c r="E50" s="89">
        <v>713.54947200000004</v>
      </c>
      <c r="F50" s="89">
        <v>69.824678000000006</v>
      </c>
      <c r="G50" s="617">
        <v>0</v>
      </c>
      <c r="H50" s="89">
        <f t="shared" si="38"/>
        <v>783.3741500000001</v>
      </c>
      <c r="I50" s="89">
        <v>0</v>
      </c>
      <c r="J50" s="89">
        <v>0.28147</v>
      </c>
      <c r="K50" s="89">
        <v>0</v>
      </c>
      <c r="L50" s="617">
        <v>0</v>
      </c>
      <c r="M50" s="89">
        <f>IF(OR(H50="NA",I50="NA",J50="NA",K50="NA"),"NA",IF(AND(H50="",I50="",J50="",K50=""),"",SUM(H50:L50)))</f>
        <v>783.65562000000011</v>
      </c>
      <c r="N50" s="89">
        <f t="shared" ref="N50:N51" si="40">H50+I50</f>
        <v>783.3741500000001</v>
      </c>
      <c r="O50" s="546"/>
      <c r="P50" s="178">
        <f t="shared" si="30"/>
        <v>0</v>
      </c>
      <c r="Q50" s="179">
        <f t="shared" si="31"/>
        <v>0</v>
      </c>
    </row>
    <row r="51" spans="1:17" ht="10.35" customHeight="1" x14ac:dyDescent="0.25">
      <c r="A51" s="143" t="s">
        <v>1634</v>
      </c>
      <c r="B51" s="551" t="s">
        <v>1032</v>
      </c>
      <c r="C51" s="605" t="s">
        <v>2922</v>
      </c>
      <c r="D51" s="605" t="s">
        <v>48</v>
      </c>
      <c r="E51" s="89">
        <v>0</v>
      </c>
      <c r="F51" s="89">
        <v>0</v>
      </c>
      <c r="G51" s="617">
        <v>0</v>
      </c>
      <c r="H51" s="89">
        <f t="shared" si="38"/>
        <v>0</v>
      </c>
      <c r="I51" s="89">
        <v>0</v>
      </c>
      <c r="J51" s="89">
        <v>0</v>
      </c>
      <c r="K51" s="89">
        <v>0</v>
      </c>
      <c r="L51" s="617">
        <v>0</v>
      </c>
      <c r="M51" s="89">
        <f>IF(OR(H51="NA",I51="NA",J51="NA",K51="NA"),"NA",IF(AND(H51="",I51="",J51="",K51=""),"",SUM(H51:L51)))</f>
        <v>0</v>
      </c>
      <c r="N51" s="89">
        <f t="shared" si="40"/>
        <v>0</v>
      </c>
      <c r="O51" s="546"/>
      <c r="P51" s="181">
        <f t="shared" si="30"/>
        <v>0</v>
      </c>
      <c r="Q51" s="182">
        <f t="shared" si="31"/>
        <v>0</v>
      </c>
    </row>
    <row r="52" spans="1:17" ht="15" customHeight="1" x14ac:dyDescent="0.25">
      <c r="A52" s="143" t="s">
        <v>1635</v>
      </c>
      <c r="B52" s="547" t="s">
        <v>1033</v>
      </c>
      <c r="C52" s="548" t="s">
        <v>2923</v>
      </c>
      <c r="D52" s="548" t="s">
        <v>48</v>
      </c>
      <c r="E52" s="89">
        <f t="shared" ref="E52:F52" si="41">IF(OR(E53="NA",E56="NA",E59="NA"),"NA",IF(AND(E53="",E56="",E59=""),"",SUM(E53)+SUM(E56)+SUM(E59)))</f>
        <v>945.68216200000006</v>
      </c>
      <c r="F52" s="89">
        <f t="shared" si="41"/>
        <v>2749.944137</v>
      </c>
      <c r="G52" s="90">
        <f>IF(OR(G59="NA"),"NA",IF(AND(G59=""),"",SUM(G53)+SUM(G56)+SUM(G59)))</f>
        <v>-2774.6789039999999</v>
      </c>
      <c r="H52" s="89">
        <f t="shared" ref="H52:K52" si="42">IF(OR(H53="NA",H56="NA",H59="NA"),"NA",IF(AND(H53="",H56="",H59=""),"",SUM(H53)+SUM(H56)+SUM(H59)))</f>
        <v>920.94739499999991</v>
      </c>
      <c r="I52" s="89">
        <f t="shared" si="42"/>
        <v>1098.7212459999998</v>
      </c>
      <c r="J52" s="89">
        <f t="shared" si="42"/>
        <v>16974.117071000001</v>
      </c>
      <c r="K52" s="89">
        <f t="shared" si="42"/>
        <v>36732.511713</v>
      </c>
      <c r="L52" s="90">
        <f>IF(OR(L59="NA"),"NA",IF(AND(L59=""),"",SUM(L53)+SUM(L56)+SUM(L59)))</f>
        <v>-53899.312476999992</v>
      </c>
      <c r="M52" s="89">
        <f t="shared" ref="M52:N52" si="43">IF(OR(M53="NA",M56="NA",M59="NA"),"NA",IF(AND(M53="",M56="",M59=""),"",SUM(M53)+SUM(M56)+SUM(M59)))</f>
        <v>1826.9849480000062</v>
      </c>
      <c r="N52" s="89">
        <f t="shared" si="43"/>
        <v>2019.6686409999998</v>
      </c>
      <c r="O52" s="546"/>
      <c r="P52" s="178">
        <f t="shared" si="30"/>
        <v>-2.2737367544323206E-13</v>
      </c>
      <c r="Q52" s="179">
        <f t="shared" si="31"/>
        <v>1.3642420526593924E-12</v>
      </c>
    </row>
    <row r="53" spans="1:17" ht="15" customHeight="1" x14ac:dyDescent="0.25">
      <c r="A53" s="143" t="s">
        <v>1956</v>
      </c>
      <c r="B53" s="547" t="s">
        <v>1034</v>
      </c>
      <c r="C53" s="601" t="s">
        <v>2924</v>
      </c>
      <c r="D53" s="601" t="s">
        <v>48</v>
      </c>
      <c r="E53" s="89">
        <f t="shared" ref="E53:F53" si="44">IF(OR(E54="NA",E55="NA"),"NA",IF(AND(E54="",E55=""),"",SUM(E54:E55)))</f>
        <v>319.73801400000002</v>
      </c>
      <c r="F53" s="89">
        <f t="shared" si="44"/>
        <v>14.257910000000001</v>
      </c>
      <c r="G53" s="617">
        <v>0</v>
      </c>
      <c r="H53" s="89">
        <f t="shared" ref="H53:K53" si="45">IF(OR(H54="NA",H55="NA"),"NA",IF(AND(H54="",H55=""),"",SUM(H54:H55)))</f>
        <v>333.995924</v>
      </c>
      <c r="I53" s="89">
        <f t="shared" si="45"/>
        <v>0</v>
      </c>
      <c r="J53" s="89">
        <f t="shared" si="45"/>
        <v>30.088006</v>
      </c>
      <c r="K53" s="89">
        <f t="shared" si="45"/>
        <v>39.901843</v>
      </c>
      <c r="L53" s="617">
        <v>0</v>
      </c>
      <c r="M53" s="89">
        <f t="shared" ref="M53:M58" si="46">IF(OR(H53="NA",I53="NA",J53="NA",K53="NA"),"NA",IF(AND(H53="",I53="",J53="",K53=""),"",SUM(H53:L53)))</f>
        <v>403.98577299999999</v>
      </c>
      <c r="N53" s="89">
        <f t="shared" ref="N53" si="47">IF(OR(N54="NA",N55="NA"),"NA",IF(AND(N54="",N55=""),"",SUM(N54:N55)))</f>
        <v>333.995924</v>
      </c>
      <c r="O53" s="546"/>
      <c r="P53" s="178">
        <f t="shared" si="30"/>
        <v>0</v>
      </c>
      <c r="Q53" s="179">
        <f t="shared" si="31"/>
        <v>0</v>
      </c>
    </row>
    <row r="54" spans="1:17" ht="10.35" customHeight="1" x14ac:dyDescent="0.25">
      <c r="A54" s="143" t="s">
        <v>1957</v>
      </c>
      <c r="B54" s="549" t="s">
        <v>1035</v>
      </c>
      <c r="C54" s="602" t="s">
        <v>2925</v>
      </c>
      <c r="D54" s="602" t="s">
        <v>48</v>
      </c>
      <c r="E54" s="89">
        <v>0</v>
      </c>
      <c r="F54" s="89">
        <v>0</v>
      </c>
      <c r="G54" s="617">
        <v>0</v>
      </c>
      <c r="H54" s="89">
        <f t="shared" ref="H54:H55" si="48">IF(OR(E54="NA",F54="NA"),"NA",IF(AND(E54="",F54=""),"",SUM(E54:G54)))</f>
        <v>0</v>
      </c>
      <c r="I54" s="89">
        <v>0</v>
      </c>
      <c r="J54" s="89">
        <v>0</v>
      </c>
      <c r="K54" s="89">
        <v>0</v>
      </c>
      <c r="L54" s="617">
        <v>0</v>
      </c>
      <c r="M54" s="89">
        <f t="shared" si="46"/>
        <v>0</v>
      </c>
      <c r="N54" s="89">
        <f>H54+I54</f>
        <v>0</v>
      </c>
      <c r="O54" s="546"/>
      <c r="P54" s="178">
        <f t="shared" si="30"/>
        <v>0</v>
      </c>
      <c r="Q54" s="179">
        <f t="shared" si="31"/>
        <v>0</v>
      </c>
    </row>
    <row r="55" spans="1:17" ht="10.35" customHeight="1" x14ac:dyDescent="0.25">
      <c r="A55" s="143" t="s">
        <v>1958</v>
      </c>
      <c r="B55" s="549" t="s">
        <v>1036</v>
      </c>
      <c r="C55" s="602" t="s">
        <v>2926</v>
      </c>
      <c r="D55" s="602" t="s">
        <v>48</v>
      </c>
      <c r="E55" s="89">
        <v>319.73801400000002</v>
      </c>
      <c r="F55" s="89">
        <v>14.257910000000001</v>
      </c>
      <c r="G55" s="617">
        <v>0</v>
      </c>
      <c r="H55" s="89">
        <f t="shared" si="48"/>
        <v>333.995924</v>
      </c>
      <c r="I55" s="89">
        <v>0</v>
      </c>
      <c r="J55" s="89">
        <v>30.088006</v>
      </c>
      <c r="K55" s="89">
        <v>39.901843</v>
      </c>
      <c r="L55" s="617">
        <v>0</v>
      </c>
      <c r="M55" s="89">
        <f t="shared" si="46"/>
        <v>403.98577299999999</v>
      </c>
      <c r="N55" s="89">
        <f>H55+I55</f>
        <v>333.995924</v>
      </c>
      <c r="O55" s="546"/>
      <c r="P55" s="178">
        <f t="shared" si="30"/>
        <v>0</v>
      </c>
      <c r="Q55" s="179">
        <f t="shared" si="31"/>
        <v>0</v>
      </c>
    </row>
    <row r="56" spans="1:17" ht="15" customHeight="1" x14ac:dyDescent="0.25">
      <c r="A56" s="143" t="s">
        <v>1959</v>
      </c>
      <c r="B56" s="547" t="s">
        <v>1037</v>
      </c>
      <c r="C56" s="601" t="s">
        <v>2927</v>
      </c>
      <c r="D56" s="601" t="s">
        <v>48</v>
      </c>
      <c r="E56" s="89">
        <f t="shared" ref="E56:F56" si="49">IF(OR(E57="NA",E58="NA"),"NA",IF(AND(E57="",E58=""),"",SUM(E57:E58)))</f>
        <v>0</v>
      </c>
      <c r="F56" s="89">
        <f t="shared" si="49"/>
        <v>0</v>
      </c>
      <c r="G56" s="617">
        <v>0</v>
      </c>
      <c r="H56" s="89">
        <f t="shared" ref="H56:K56" si="50">IF(OR(H57="NA",H58="NA"),"NA",IF(AND(H57="",H58=""),"",SUM(H57:H58)))</f>
        <v>0</v>
      </c>
      <c r="I56" s="89">
        <f t="shared" si="50"/>
        <v>0</v>
      </c>
      <c r="J56" s="89">
        <f t="shared" si="50"/>
        <v>0</v>
      </c>
      <c r="K56" s="89">
        <f t="shared" si="50"/>
        <v>0</v>
      </c>
      <c r="L56" s="617">
        <v>0</v>
      </c>
      <c r="M56" s="89">
        <f t="shared" si="46"/>
        <v>0</v>
      </c>
      <c r="N56" s="89">
        <f t="shared" ref="N56" si="51">IF(OR(N57="NA",N58="NA"),"NA",IF(AND(N57="",N58=""),"",SUM(N57:N58)))</f>
        <v>0</v>
      </c>
      <c r="O56" s="546"/>
      <c r="P56" s="178">
        <f t="shared" si="30"/>
        <v>0</v>
      </c>
      <c r="Q56" s="179">
        <f t="shared" si="31"/>
        <v>0</v>
      </c>
    </row>
    <row r="57" spans="1:17" ht="10.35" customHeight="1" x14ac:dyDescent="0.25">
      <c r="A57" s="143" t="s">
        <v>1960</v>
      </c>
      <c r="B57" s="549" t="s">
        <v>1038</v>
      </c>
      <c r="C57" s="602" t="s">
        <v>2928</v>
      </c>
      <c r="D57" s="602" t="s">
        <v>48</v>
      </c>
      <c r="E57" s="89">
        <v>0</v>
      </c>
      <c r="F57" s="89">
        <v>0</v>
      </c>
      <c r="G57" s="617">
        <v>0</v>
      </c>
      <c r="H57" s="89">
        <f t="shared" ref="H57:H58" si="52">IF(OR(E57="NA",F57="NA"),"NA",IF(AND(E57="",F57=""),"",SUM(E57:G57)))</f>
        <v>0</v>
      </c>
      <c r="I57" s="89">
        <v>0</v>
      </c>
      <c r="J57" s="89">
        <v>0</v>
      </c>
      <c r="K57" s="89">
        <v>0</v>
      </c>
      <c r="L57" s="617">
        <v>0</v>
      </c>
      <c r="M57" s="89">
        <f t="shared" si="46"/>
        <v>0</v>
      </c>
      <c r="N57" s="89">
        <f>H57+I57</f>
        <v>0</v>
      </c>
      <c r="O57" s="546"/>
      <c r="P57" s="178">
        <f t="shared" si="30"/>
        <v>0</v>
      </c>
      <c r="Q57" s="179">
        <f t="shared" si="31"/>
        <v>0</v>
      </c>
    </row>
    <row r="58" spans="1:17" ht="10.35" customHeight="1" x14ac:dyDescent="0.25">
      <c r="A58" s="143" t="s">
        <v>1961</v>
      </c>
      <c r="B58" s="549" t="s">
        <v>1039</v>
      </c>
      <c r="C58" s="602" t="s">
        <v>2929</v>
      </c>
      <c r="D58" s="602" t="s">
        <v>48</v>
      </c>
      <c r="E58" s="89">
        <v>0</v>
      </c>
      <c r="F58" s="89">
        <v>0</v>
      </c>
      <c r="G58" s="617">
        <v>0</v>
      </c>
      <c r="H58" s="89">
        <f t="shared" si="52"/>
        <v>0</v>
      </c>
      <c r="I58" s="89">
        <v>0</v>
      </c>
      <c r="J58" s="89">
        <v>0</v>
      </c>
      <c r="K58" s="89">
        <v>0</v>
      </c>
      <c r="L58" s="617">
        <v>0</v>
      </c>
      <c r="M58" s="89">
        <f t="shared" si="46"/>
        <v>0</v>
      </c>
      <c r="N58" s="89">
        <f>H58+I58</f>
        <v>0</v>
      </c>
      <c r="O58" s="546"/>
      <c r="P58" s="178">
        <f t="shared" si="30"/>
        <v>0</v>
      </c>
      <c r="Q58" s="179">
        <f t="shared" si="31"/>
        <v>0</v>
      </c>
    </row>
    <row r="59" spans="1:17" ht="15" customHeight="1" x14ac:dyDescent="0.25">
      <c r="A59" s="143" t="s">
        <v>1962</v>
      </c>
      <c r="B59" s="547" t="s">
        <v>179</v>
      </c>
      <c r="C59" s="601" t="s">
        <v>2930</v>
      </c>
      <c r="D59" s="601" t="s">
        <v>48</v>
      </c>
      <c r="E59" s="89">
        <f t="shared" ref="E59:G59" si="53">IF(OR(E60="NA",E61="NA"),"NA",IF(AND(E60="",E61=""),"",SUM(E60:E61)))</f>
        <v>625.94414800000004</v>
      </c>
      <c r="F59" s="89">
        <f t="shared" si="53"/>
        <v>2735.6862270000001</v>
      </c>
      <c r="G59" s="89">
        <f t="shared" si="53"/>
        <v>-2774.6789039999999</v>
      </c>
      <c r="H59" s="89">
        <f t="shared" ref="H59:L59" si="54">IF(OR(H60="NA",H61="NA"),"NA",IF(AND(H60="",H61=""),"",SUM(H60:H61)))</f>
        <v>586.95147099999986</v>
      </c>
      <c r="I59" s="89">
        <f t="shared" si="54"/>
        <v>1098.7212459999998</v>
      </c>
      <c r="J59" s="89">
        <f t="shared" si="54"/>
        <v>16944.029064999999</v>
      </c>
      <c r="K59" s="89">
        <f t="shared" si="54"/>
        <v>36692.60987</v>
      </c>
      <c r="L59" s="89">
        <f t="shared" si="54"/>
        <v>-53899.312476999992</v>
      </c>
      <c r="M59" s="89">
        <f t="shared" ref="M59:N59" si="55">IF(OR(M60="NA",M61="NA"),"NA",IF(AND(M60="",M61=""),"",SUM(M60:M61)))</f>
        <v>1422.9991750000063</v>
      </c>
      <c r="N59" s="89">
        <f t="shared" si="55"/>
        <v>1685.6727169999997</v>
      </c>
      <c r="O59" s="546"/>
      <c r="P59" s="178">
        <f t="shared" si="30"/>
        <v>-4.5474735088646412E-13</v>
      </c>
      <c r="Q59" s="179">
        <f t="shared" si="31"/>
        <v>-5.4569682106375694E-12</v>
      </c>
    </row>
    <row r="60" spans="1:17" ht="10.35" customHeight="1" x14ac:dyDescent="0.25">
      <c r="A60" s="143" t="s">
        <v>1963</v>
      </c>
      <c r="B60" s="549" t="s">
        <v>180</v>
      </c>
      <c r="C60" s="602" t="s">
        <v>2928</v>
      </c>
      <c r="D60" s="602" t="s">
        <v>48</v>
      </c>
      <c r="E60" s="89">
        <v>567.87539600000002</v>
      </c>
      <c r="F60" s="89">
        <v>2450.4238989999999</v>
      </c>
      <c r="G60" s="89">
        <v>-2433.941323</v>
      </c>
      <c r="H60" s="89">
        <f>IF(OR(E60="NA",F60="NA",G60="NA"),"NA",IF(AND(E60="",F60="",G60=""),"",SUM(E60:G60)))</f>
        <v>584.35797199999979</v>
      </c>
      <c r="I60" s="89">
        <v>1098.6172959999999</v>
      </c>
      <c r="J60" s="89">
        <v>13661.643635</v>
      </c>
      <c r="K60" s="89">
        <v>33163.511860999999</v>
      </c>
      <c r="L60" s="89">
        <v>-47229.399678999995</v>
      </c>
      <c r="M60" s="89">
        <f>IF(OR(H60="NA",I60="NA",J60="NA",K60="NA",L60="NA"),"NA",IF(AND(H60="",I60="",J60="",K60="",L60=""),"",SUM(H60:L60)))</f>
        <v>1278.7310850000067</v>
      </c>
      <c r="N60" s="89">
        <f>H60+I60</f>
        <v>1682.9752679999997</v>
      </c>
      <c r="O60" s="546"/>
      <c r="P60" s="178">
        <f t="shared" si="30"/>
        <v>0</v>
      </c>
      <c r="Q60" s="179">
        <f t="shared" si="31"/>
        <v>0</v>
      </c>
    </row>
    <row r="61" spans="1:17" ht="10.35" customHeight="1" x14ac:dyDescent="0.25">
      <c r="A61" s="143" t="s">
        <v>1964</v>
      </c>
      <c r="B61" s="551" t="s">
        <v>181</v>
      </c>
      <c r="C61" s="605" t="s">
        <v>2931</v>
      </c>
      <c r="D61" s="605" t="s">
        <v>48</v>
      </c>
      <c r="E61" s="148">
        <v>58.068752000000003</v>
      </c>
      <c r="F61" s="148">
        <v>285.26232800000002</v>
      </c>
      <c r="G61" s="148">
        <v>-340.73758100000003</v>
      </c>
      <c r="H61" s="148">
        <f>IF(OR(E61="NA",F61="NA",G61="NA"),"NA",IF(AND(E61="",F61="",G61=""),"",SUM(E61:G61)))</f>
        <v>2.5934990000000084</v>
      </c>
      <c r="I61" s="148">
        <v>0.10395</v>
      </c>
      <c r="J61" s="148">
        <v>3282.3854299999998</v>
      </c>
      <c r="K61" s="148">
        <v>3529.0980089999998</v>
      </c>
      <c r="L61" s="148">
        <v>-6669.9127980000003</v>
      </c>
      <c r="M61" s="148">
        <f>IF(OR(H61="NA",I61="NA",J61="NA",K61="NA",L61="NA"),"NA",IF(AND(H61="",I61="",J61="",K61="",L61=""),"",SUM(H61:L61)))</f>
        <v>144.26808999999957</v>
      </c>
      <c r="N61" s="148">
        <f>H61+I61</f>
        <v>2.6974490000000086</v>
      </c>
      <c r="O61" s="615"/>
      <c r="P61" s="181">
        <f t="shared" si="30"/>
        <v>0</v>
      </c>
      <c r="Q61" s="182">
        <f t="shared" si="31"/>
        <v>0</v>
      </c>
    </row>
    <row r="62" spans="1:17" ht="15" customHeight="1" x14ac:dyDescent="0.25">
      <c r="A62" s="143" t="s">
        <v>1636</v>
      </c>
      <c r="B62" s="547" t="s">
        <v>1040</v>
      </c>
      <c r="C62" s="548" t="s">
        <v>2932</v>
      </c>
      <c r="D62" s="548" t="s">
        <v>48</v>
      </c>
      <c r="E62" s="90">
        <f t="shared" ref="E62:G62" si="56">IF(OR(E63="NA",E73="NA",E78="NA",E79="NA",E84="NA"),"NA",IF(AND(E63="",E73="",E78="",E79="",E84=""),"",SUM(E63)+SUM(E73)+SUM(E78)+SUM(E79)+SUM(E84)))</f>
        <v>38577.241336000006</v>
      </c>
      <c r="F62" s="90">
        <f t="shared" si="56"/>
        <v>1615.2903639999997</v>
      </c>
      <c r="G62" s="90">
        <f t="shared" si="56"/>
        <v>-277.0725359999991</v>
      </c>
      <c r="H62" s="90">
        <f t="shared" ref="H62:K62" si="57">IF(OR(H63="NA",H73="NA",H78="NA",H79="NA",H84="NA"),"NA",IF(AND(H63="",H73="",H78="",H79="",H84=""),"",SUM(H63)+SUM(H73)+SUM(H78)+SUM(H79)+SUM(H84)))</f>
        <v>39915.459164</v>
      </c>
      <c r="I62" s="90">
        <f t="shared" si="57"/>
        <v>2392.8005199999993</v>
      </c>
      <c r="J62" s="90">
        <f t="shared" si="57"/>
        <v>5709.2511600000007</v>
      </c>
      <c r="K62" s="90">
        <f t="shared" si="57"/>
        <v>10137.845751999999</v>
      </c>
      <c r="L62" s="90">
        <f t="shared" ref="L62" si="58">IF(OR(L63="NA",L73="NA",L78="NA",L79="NA",L84="NA"),"NA",IF(AND(L63="",L73="",L78="",L79="",L84=""),"",SUM(L63)+SUM(L73)+SUM(L78)+SUM(L79)+SUM(L84)))</f>
        <v>-1127.0708139999988</v>
      </c>
      <c r="M62" s="90">
        <f t="shared" ref="M62:N62" si="59">IF(OR(M63="NA",M73="NA",M78="NA",M79="NA",M84="NA"),"NA",IF(AND(M63="",M73="",M78="",M79="",M84=""),"",SUM(M63)+SUM(M73)+SUM(M78)+SUM(M79)+SUM(M84)))</f>
        <v>57028.285781999992</v>
      </c>
      <c r="N62" s="90">
        <f t="shared" si="59"/>
        <v>42308.259683999997</v>
      </c>
      <c r="O62" s="546"/>
      <c r="P62" s="178">
        <f t="shared" si="30"/>
        <v>-7.2759576141834259E-12</v>
      </c>
      <c r="Q62" s="179">
        <f t="shared" si="31"/>
        <v>-7.2759576141834259E-12</v>
      </c>
    </row>
    <row r="63" spans="1:17" ht="15" customHeight="1" x14ac:dyDescent="0.25">
      <c r="A63" s="143" t="s">
        <v>1637</v>
      </c>
      <c r="B63" s="547" t="s">
        <v>1041</v>
      </c>
      <c r="C63" s="601" t="s">
        <v>2933</v>
      </c>
      <c r="D63" s="601" t="s">
        <v>48</v>
      </c>
      <c r="E63" s="89">
        <f t="shared" ref="E63:F63" si="60">IF(OR(E64="NA",E68="NA",E69="NA",E70="NA",E71="NA",E72="NA"),"NA",IF(AND(E64="",E68="",E69="",E70="",E71="",E72=""),"",SUM(E64,E68:E72)))</f>
        <v>15496.929638</v>
      </c>
      <c r="F63" s="89">
        <f t="shared" si="60"/>
        <v>236.87150400000002</v>
      </c>
      <c r="G63" s="89">
        <f>IF(OR(G64="NA",G68="NA",G70="NA",G71="NA",G72="NA"),"NA",IF(AND(G64="",G68="",G70="",G71="",G72=""),"",SUM(G64,G68:G72)))</f>
        <v>-10.143399999999019</v>
      </c>
      <c r="H63" s="89">
        <f t="shared" ref="H63:K63" si="61">IF(OR(H64="NA",H68="NA",H69="NA",H70="NA",H71="NA",H72="NA"),"NA",IF(AND(H64="",H68="",H69="",H70="",H71="",H72=""),"",SUM(H64,H68:H72)))</f>
        <v>15723.657742000001</v>
      </c>
      <c r="I63" s="89">
        <f t="shared" si="61"/>
        <v>901.21848</v>
      </c>
      <c r="J63" s="89">
        <f t="shared" si="61"/>
        <v>2371.7826829999999</v>
      </c>
      <c r="K63" s="89">
        <f t="shared" si="61"/>
        <v>3458.0893649999998</v>
      </c>
      <c r="L63" s="89">
        <f>IF(OR(L64="NA",L68="NA",L70="NA",L71="NA",L72="NA"),"NA",IF(AND(L64="",L68="",L70="",L71="",L72=""),"",SUM(L64,L68:L72)))</f>
        <v>-80.51472400000057</v>
      </c>
      <c r="M63" s="89">
        <f t="shared" ref="M63:N63" si="62">IF(OR(M64="NA",M68="NA",M69="NA",M70="NA",M71="NA",M72="NA"),"NA",IF(AND(M64="",M68="",M69="",M70="",M71="",M72=""),"",SUM(M64,M68:M72)))</f>
        <v>22374.233545999996</v>
      </c>
      <c r="N63" s="89">
        <f t="shared" si="62"/>
        <v>16624.876221999999</v>
      </c>
      <c r="O63" s="546"/>
      <c r="P63" s="178">
        <f t="shared" si="30"/>
        <v>0</v>
      </c>
      <c r="Q63" s="179">
        <f t="shared" si="31"/>
        <v>-7.2759576141834259E-12</v>
      </c>
    </row>
    <row r="64" spans="1:17" ht="10.35" customHeight="1" x14ac:dyDescent="0.25">
      <c r="A64" s="143" t="s">
        <v>1638</v>
      </c>
      <c r="B64" s="549" t="s">
        <v>1042</v>
      </c>
      <c r="C64" s="602" t="s">
        <v>2934</v>
      </c>
      <c r="D64" s="602" t="s">
        <v>48</v>
      </c>
      <c r="E64" s="89">
        <f t="shared" ref="E64:F64" si="63">IF(OR(E65="NA",E66="NA",E67="NA"),"NA",IF(AND(E65="",E66="",E67=""),"",SUM(E65:E67)))</f>
        <v>11065.516979</v>
      </c>
      <c r="F64" s="89">
        <f t="shared" si="63"/>
        <v>209.087018</v>
      </c>
      <c r="G64" s="89">
        <f>IF(OR(G67="NA"),"NA",IF(AND(G67=""),"",SUM(G65:G67)))</f>
        <v>-10.143399999999019</v>
      </c>
      <c r="H64" s="89">
        <f t="shared" ref="H64:K64" si="64">IF(OR(H65="NA",H66="NA",H67="NA"),"NA",IF(AND(H65="",H66="",H67=""),"",SUM(H65:H67)))</f>
        <v>11264.460597000001</v>
      </c>
      <c r="I64" s="89">
        <f t="shared" si="64"/>
        <v>901.21848</v>
      </c>
      <c r="J64" s="89">
        <f t="shared" si="64"/>
        <v>2301.2055479999999</v>
      </c>
      <c r="K64" s="89">
        <f t="shared" si="64"/>
        <v>3352.3244009999999</v>
      </c>
      <c r="L64" s="89">
        <f>IF(OR(L67="NA"),"NA",IF(AND(L67=""),"",SUM(L65:L67)))</f>
        <v>-80.51472400000057</v>
      </c>
      <c r="M64" s="89">
        <f t="shared" ref="M64:N64" si="65">IF(OR(M65="NA",M66="NA",M67="NA"),"NA",IF(AND(M65="",M66="",M67=""),"",SUM(M65:M67)))</f>
        <v>17738.694302</v>
      </c>
      <c r="N64" s="89">
        <f t="shared" si="65"/>
        <v>12165.679077000001</v>
      </c>
      <c r="O64" s="546"/>
      <c r="P64" s="178">
        <f t="shared" si="30"/>
        <v>0</v>
      </c>
      <c r="Q64" s="179">
        <f t="shared" si="31"/>
        <v>0</v>
      </c>
    </row>
    <row r="65" spans="1:17" ht="10.35" customHeight="1" x14ac:dyDescent="0.25">
      <c r="A65" s="143" t="s">
        <v>1965</v>
      </c>
      <c r="B65" s="549" t="s">
        <v>285</v>
      </c>
      <c r="C65" s="603" t="s">
        <v>2935</v>
      </c>
      <c r="D65" s="603" t="s">
        <v>48</v>
      </c>
      <c r="E65" s="89">
        <v>0</v>
      </c>
      <c r="F65" s="89">
        <v>0</v>
      </c>
      <c r="G65" s="617">
        <v>0</v>
      </c>
      <c r="H65" s="89">
        <f t="shared" ref="H65:H66" si="66">IF(OR(E65="NA",F65="NA"),"NA",IF(AND(E65="",F65=""),"",SUM(E65:G65)))</f>
        <v>0</v>
      </c>
      <c r="I65" s="89">
        <v>0</v>
      </c>
      <c r="J65" s="89">
        <v>0</v>
      </c>
      <c r="K65" s="89">
        <v>0</v>
      </c>
      <c r="L65" s="617">
        <v>0</v>
      </c>
      <c r="M65" s="89">
        <f>IF(OR(H65="NA",I65="NA",J65="NA",K65="NA"),"NA",IF(AND(H65="",I65="",J65="",K65=""),"",SUM(H65:L65)))</f>
        <v>0</v>
      </c>
      <c r="N65" s="89">
        <f>H65+I65</f>
        <v>0</v>
      </c>
      <c r="O65" s="546"/>
      <c r="P65" s="178">
        <f t="shared" si="30"/>
        <v>0</v>
      </c>
      <c r="Q65" s="179">
        <f t="shared" si="31"/>
        <v>0</v>
      </c>
    </row>
    <row r="66" spans="1:17" ht="10.35" customHeight="1" x14ac:dyDescent="0.25">
      <c r="A66" s="143" t="s">
        <v>1966</v>
      </c>
      <c r="B66" s="549" t="s">
        <v>286</v>
      </c>
      <c r="C66" s="603" t="s">
        <v>2936</v>
      </c>
      <c r="D66" s="603" t="s">
        <v>48</v>
      </c>
      <c r="E66" s="89">
        <v>11065.516979</v>
      </c>
      <c r="F66" s="89">
        <v>209.087018</v>
      </c>
      <c r="G66" s="617">
        <v>-10.143399999999019</v>
      </c>
      <c r="H66" s="89">
        <f t="shared" si="66"/>
        <v>11264.460597000001</v>
      </c>
      <c r="I66" s="89">
        <v>901.21848</v>
      </c>
      <c r="J66" s="89">
        <v>2301.2055479999999</v>
      </c>
      <c r="K66" s="89">
        <v>3352.3244009999999</v>
      </c>
      <c r="L66" s="617">
        <v>-80.51472400000057</v>
      </c>
      <c r="M66" s="89">
        <f>IF(OR(H66="NA",I66="NA",J66="NA",K66="NA"),"NA",IF(AND(H66="",I66="",J66="",K66=""),"",SUM(H66:L66)))</f>
        <v>17738.694302</v>
      </c>
      <c r="N66" s="89">
        <f>H66+I66</f>
        <v>12165.679077000001</v>
      </c>
      <c r="O66" s="546"/>
      <c r="P66" s="178">
        <f t="shared" si="30"/>
        <v>0</v>
      </c>
      <c r="Q66" s="179">
        <f t="shared" si="31"/>
        <v>0</v>
      </c>
    </row>
    <row r="67" spans="1:17" ht="10.35" customHeight="1" x14ac:dyDescent="0.25">
      <c r="A67" s="143" t="s">
        <v>1967</v>
      </c>
      <c r="B67" s="549" t="s">
        <v>287</v>
      </c>
      <c r="C67" s="603" t="s">
        <v>2930</v>
      </c>
      <c r="D67" s="603" t="s">
        <v>48</v>
      </c>
      <c r="E67" s="89">
        <v>0</v>
      </c>
      <c r="F67" s="89">
        <v>0</v>
      </c>
      <c r="G67" s="89">
        <v>0</v>
      </c>
      <c r="H67" s="89">
        <f t="shared" ref="H67:H72" si="67">IF(OR(E67="NA",F67="NA",G67="NA"),"NA",IF(AND(E67="",F67="",G67=""),"",SUM(E67:G67)))</f>
        <v>0</v>
      </c>
      <c r="I67" s="89">
        <v>0</v>
      </c>
      <c r="J67" s="89">
        <v>0</v>
      </c>
      <c r="K67" s="89">
        <v>0</v>
      </c>
      <c r="L67" s="89">
        <v>0</v>
      </c>
      <c r="M67" s="89">
        <f t="shared" ref="M67:M72" si="68">IF(OR(H67="NA",I67="NA",J67="NA",K67="NA",L67="NA"),"NA",IF(AND(H67="",I67="",J67="",K67="",L67=""),"",SUM(H67:L67)))</f>
        <v>0</v>
      </c>
      <c r="N67" s="89">
        <f>H67+I67</f>
        <v>0</v>
      </c>
      <c r="O67" s="546"/>
      <c r="P67" s="178">
        <f t="shared" si="30"/>
        <v>0</v>
      </c>
      <c r="Q67" s="179">
        <f t="shared" si="31"/>
        <v>0</v>
      </c>
    </row>
    <row r="68" spans="1:17" ht="10.35" customHeight="1" x14ac:dyDescent="0.25">
      <c r="A68" s="143" t="s">
        <v>1639</v>
      </c>
      <c r="B68" s="549" t="s">
        <v>201</v>
      </c>
      <c r="C68" s="602" t="s">
        <v>2937</v>
      </c>
      <c r="D68" s="602" t="s">
        <v>48</v>
      </c>
      <c r="E68" s="89">
        <v>35.514828999999999</v>
      </c>
      <c r="F68" s="89">
        <v>27.784486000000001</v>
      </c>
      <c r="G68" s="89">
        <v>0</v>
      </c>
      <c r="H68" s="89">
        <f t="shared" si="67"/>
        <v>63.299315</v>
      </c>
      <c r="I68" s="89">
        <v>0</v>
      </c>
      <c r="J68" s="89">
        <v>48.484520000000003</v>
      </c>
      <c r="K68" s="89">
        <v>42.163665000000002</v>
      </c>
      <c r="L68" s="89">
        <v>0</v>
      </c>
      <c r="M68" s="89">
        <f t="shared" si="68"/>
        <v>153.94750000000002</v>
      </c>
      <c r="N68" s="89">
        <f>H68+I68</f>
        <v>63.299315</v>
      </c>
      <c r="O68" s="546"/>
      <c r="P68" s="178">
        <f t="shared" si="30"/>
        <v>0</v>
      </c>
      <c r="Q68" s="179">
        <f t="shared" si="31"/>
        <v>0</v>
      </c>
    </row>
    <row r="69" spans="1:17" ht="10.35" customHeight="1" x14ac:dyDescent="0.25">
      <c r="A69" s="143" t="s">
        <v>1640</v>
      </c>
      <c r="B69" s="549" t="s">
        <v>202</v>
      </c>
      <c r="C69" s="602" t="s">
        <v>2938</v>
      </c>
      <c r="D69" s="602" t="s">
        <v>48</v>
      </c>
      <c r="E69" s="89">
        <v>0</v>
      </c>
      <c r="F69" s="89">
        <v>0</v>
      </c>
      <c r="G69" s="617">
        <v>0</v>
      </c>
      <c r="H69" s="89">
        <f t="shared" ref="H69" si="69">IF(OR(E69="NA",F69="NA"),"NA",IF(AND(E69="",F69=""),"",SUM(E69:G69)))</f>
        <v>0</v>
      </c>
      <c r="I69" s="89">
        <v>0</v>
      </c>
      <c r="J69" s="89">
        <v>0</v>
      </c>
      <c r="K69" s="89">
        <v>0</v>
      </c>
      <c r="L69" s="617">
        <v>0</v>
      </c>
      <c r="M69" s="89">
        <f>IF(OR(H69="NA",I69="NA",J69="NA",K69="NA"),"NA",IF(AND(H69="",I69="",J69="",K69=""),"",SUM(H69:L69)))</f>
        <v>0</v>
      </c>
      <c r="N69" s="89">
        <f t="shared" ref="N69:N72" si="70">H69+I69</f>
        <v>0</v>
      </c>
      <c r="O69" s="546"/>
      <c r="P69" s="178">
        <f t="shared" si="30"/>
        <v>0</v>
      </c>
      <c r="Q69" s="179">
        <f t="shared" si="31"/>
        <v>0</v>
      </c>
    </row>
    <row r="70" spans="1:17" ht="10.35" customHeight="1" x14ac:dyDescent="0.25">
      <c r="A70" s="143" t="s">
        <v>1641</v>
      </c>
      <c r="B70" s="549" t="s">
        <v>203</v>
      </c>
      <c r="C70" s="602" t="s">
        <v>2939</v>
      </c>
      <c r="D70" s="602" t="s">
        <v>48</v>
      </c>
      <c r="E70" s="89">
        <v>0</v>
      </c>
      <c r="F70" s="89">
        <v>0</v>
      </c>
      <c r="G70" s="89">
        <v>0</v>
      </c>
      <c r="H70" s="89">
        <f t="shared" si="67"/>
        <v>0</v>
      </c>
      <c r="I70" s="89">
        <v>0</v>
      </c>
      <c r="J70" s="89">
        <v>0</v>
      </c>
      <c r="K70" s="89">
        <v>0</v>
      </c>
      <c r="L70" s="89">
        <v>0</v>
      </c>
      <c r="M70" s="89">
        <f t="shared" si="68"/>
        <v>0</v>
      </c>
      <c r="N70" s="89">
        <f t="shared" si="70"/>
        <v>0</v>
      </c>
      <c r="O70" s="546"/>
      <c r="P70" s="178">
        <f t="shared" si="30"/>
        <v>0</v>
      </c>
      <c r="Q70" s="179">
        <f t="shared" si="31"/>
        <v>0</v>
      </c>
    </row>
    <row r="71" spans="1:17" ht="10.35" customHeight="1" x14ac:dyDescent="0.25">
      <c r="A71" s="143" t="s">
        <v>1642</v>
      </c>
      <c r="B71" s="549" t="s">
        <v>1043</v>
      </c>
      <c r="C71" s="602" t="s">
        <v>2940</v>
      </c>
      <c r="D71" s="602" t="s">
        <v>48</v>
      </c>
      <c r="E71" s="89">
        <v>4395.8978299999999</v>
      </c>
      <c r="F71" s="89">
        <v>0</v>
      </c>
      <c r="G71" s="89">
        <v>0</v>
      </c>
      <c r="H71" s="89">
        <f t="shared" si="67"/>
        <v>4395.8978299999999</v>
      </c>
      <c r="I71" s="89">
        <v>0</v>
      </c>
      <c r="J71" s="89">
        <v>22.092614999999999</v>
      </c>
      <c r="K71" s="89">
        <v>63.601298999999997</v>
      </c>
      <c r="L71" s="89">
        <v>0</v>
      </c>
      <c r="M71" s="89">
        <f t="shared" si="68"/>
        <v>4481.5917439999994</v>
      </c>
      <c r="N71" s="89">
        <f t="shared" si="70"/>
        <v>4395.8978299999999</v>
      </c>
      <c r="O71" s="546"/>
      <c r="P71" s="178">
        <f t="shared" si="30"/>
        <v>0</v>
      </c>
      <c r="Q71" s="179">
        <f t="shared" si="31"/>
        <v>0</v>
      </c>
    </row>
    <row r="72" spans="1:17" ht="10.35" customHeight="1" x14ac:dyDescent="0.25">
      <c r="A72" s="143" t="s">
        <v>1968</v>
      </c>
      <c r="B72" s="549" t="s">
        <v>1044</v>
      </c>
      <c r="C72" s="602" t="s">
        <v>2941</v>
      </c>
      <c r="D72" s="602" t="s">
        <v>48</v>
      </c>
      <c r="E72" s="89">
        <v>0</v>
      </c>
      <c r="F72" s="89">
        <v>0</v>
      </c>
      <c r="G72" s="89">
        <v>0</v>
      </c>
      <c r="H72" s="89">
        <f t="shared" si="67"/>
        <v>0</v>
      </c>
      <c r="I72" s="89">
        <v>0</v>
      </c>
      <c r="J72" s="89">
        <v>0</v>
      </c>
      <c r="K72" s="89">
        <v>0</v>
      </c>
      <c r="L72" s="89">
        <v>0</v>
      </c>
      <c r="M72" s="89">
        <f t="shared" si="68"/>
        <v>0</v>
      </c>
      <c r="N72" s="89">
        <f t="shared" si="70"/>
        <v>0</v>
      </c>
      <c r="O72" s="546"/>
      <c r="P72" s="178">
        <f t="shared" ref="P72:P89" si="71">IF(OR(H72="NA",E72="NA",F72="NA",G72="NA"),"NA",SUM(H72)-SUM(E72:G72))</f>
        <v>0</v>
      </c>
      <c r="Q72" s="179">
        <f t="shared" ref="Q72:Q89" si="72">IF(OR(M72="NA",H72="NA",I72="NA",J72="NA",K72="NA",L72="NA"),"NA",SUM(M72)-SUM(H72:L72))</f>
        <v>0</v>
      </c>
    </row>
    <row r="73" spans="1:17" ht="15" customHeight="1" x14ac:dyDescent="0.25">
      <c r="A73" s="143" t="s">
        <v>1643</v>
      </c>
      <c r="B73" s="547" t="s">
        <v>1045</v>
      </c>
      <c r="C73" s="601" t="s">
        <v>2942</v>
      </c>
      <c r="D73" s="601" t="s">
        <v>48</v>
      </c>
      <c r="E73" s="89">
        <f>IF(OR(E74="NA",E75="NA",E76="NA",),"NA",IF(AND(E74="",E75="",E76="",E77=""),"",SUM(E74:E77)))</f>
        <v>12048.656612000001</v>
      </c>
      <c r="F73" s="89">
        <f>IF(OR(F74="NA",F75="NA",F76="NA",),"NA",IF(AND(F74="",F75="",F76="",F77=""),"",SUM(F74:F77)))</f>
        <v>1334.4405649999999</v>
      </c>
      <c r="G73" s="89">
        <f>IF(OR(G74="NA",G75="NA",G76="NA"),"NA",IF(AND(G74="",G75="",G76=""),"",SUM(G74:G77)))</f>
        <v>-245.1990830000002</v>
      </c>
      <c r="H73" s="89">
        <f>IF(OR(H74="NA",H75="NA",H76="NA",),"NA",IF(AND(H74="",H75="",H76="",H77=""),"",SUM(H74:H77)))</f>
        <v>13137.898094</v>
      </c>
      <c r="I73" s="89">
        <f>IF(OR(I74="NA",I75="NA",I76="NA",),"NA",IF(AND(I74="",I75="",I76="",I77=""),"",SUM(I74:I77)))</f>
        <v>1447.3526429999997</v>
      </c>
      <c r="J73" s="89">
        <f>IF(OR(J74="NA",J75="NA",J76="NA",),"NA",IF(AND(J74="",J75="",J76="",J77=""),"",SUM(J74:J77)))</f>
        <v>2037.3170099999998</v>
      </c>
      <c r="K73" s="89">
        <f>IF(OR(K74="NA",K75="NA",K76="NA",),"NA",IF(AND(K74="",K75="",K76="",K77=""),"",SUM(K74:K77)))</f>
        <v>2435.0680189999998</v>
      </c>
      <c r="L73" s="89">
        <f>IF(OR(L74="NA",L75="NA",L76="NA"),"NA",IF(AND(L74="",L75="",L76=""),"",SUM(L74:L77)))</f>
        <v>-702.19319799999948</v>
      </c>
      <c r="M73" s="89">
        <f>IF(OR(M74="NA",M75="NA",M76="NA",),"NA",IF(AND(M74="",M75="",M76="",M77=""),"",SUM(M74:M77)))</f>
        <v>18355.442567999999</v>
      </c>
      <c r="N73" s="89">
        <f>IF(OR(N74="NA",N75="NA",N76="NA",),"NA",IF(AND(N74="",N75="",N76="",N77=""),"",SUM(N74:N77)))</f>
        <v>14585.250736999998</v>
      </c>
      <c r="O73" s="546"/>
      <c r="P73" s="178">
        <f t="shared" si="71"/>
        <v>0</v>
      </c>
      <c r="Q73" s="179">
        <f t="shared" si="72"/>
        <v>0</v>
      </c>
    </row>
    <row r="74" spans="1:17" ht="10.35" customHeight="1" x14ac:dyDescent="0.25">
      <c r="A74" s="143" t="s">
        <v>1644</v>
      </c>
      <c r="B74" s="549" t="s">
        <v>1046</v>
      </c>
      <c r="C74" s="602" t="s">
        <v>2943</v>
      </c>
      <c r="D74" s="602" t="s">
        <v>48</v>
      </c>
      <c r="E74" s="89">
        <v>1608.80537</v>
      </c>
      <c r="F74" s="89">
        <v>108.88999</v>
      </c>
      <c r="G74" s="89">
        <v>-37.365133000000014</v>
      </c>
      <c r="H74" s="89">
        <f>IF(OR(E74="NA",F74="NA",G74="NA"),"NA",IF(AND(E74="",F74="",G74=""),"",SUM(E74:G74)))</f>
        <v>1680.3302269999999</v>
      </c>
      <c r="I74" s="89">
        <v>5.7404080000000004</v>
      </c>
      <c r="J74" s="89">
        <v>856.82443699999999</v>
      </c>
      <c r="K74" s="89">
        <v>694.732617</v>
      </c>
      <c r="L74" s="89">
        <v>-205.23843799999986</v>
      </c>
      <c r="M74" s="89">
        <f>IF(OR(H74="NA",I74="NA",J74="NA",K74="NA",L74="NA"),"NA",IF(AND(H74="",I74="",J74="",K74="",L74=""),"",SUM(H74:L74)))</f>
        <v>3032.3892510000001</v>
      </c>
      <c r="N74" s="89">
        <f>H74+I74</f>
        <v>1686.0706349999998</v>
      </c>
      <c r="O74" s="546"/>
      <c r="P74" s="178">
        <f t="shared" si="71"/>
        <v>0</v>
      </c>
      <c r="Q74" s="179">
        <f t="shared" si="72"/>
        <v>0</v>
      </c>
    </row>
    <row r="75" spans="1:17" ht="10.35" customHeight="1" x14ac:dyDescent="0.25">
      <c r="A75" s="143" t="s">
        <v>1645</v>
      </c>
      <c r="B75" s="549" t="s">
        <v>1047</v>
      </c>
      <c r="C75" s="602" t="s">
        <v>2944</v>
      </c>
      <c r="D75" s="602" t="s">
        <v>48</v>
      </c>
      <c r="E75" s="89">
        <v>7516.4273720000001</v>
      </c>
      <c r="F75" s="89">
        <v>150.11411699999999</v>
      </c>
      <c r="G75" s="89">
        <v>-4.3279840000004697</v>
      </c>
      <c r="H75" s="89">
        <f>IF(OR(E75="NA",F75="NA",G75="NA"),"NA",IF(AND(E75="",F75="",G75=""),"",SUM(E75:G75)))</f>
        <v>7662.2135049999997</v>
      </c>
      <c r="I75" s="89">
        <v>1441.6102109999999</v>
      </c>
      <c r="J75" s="89">
        <v>490.93537199999997</v>
      </c>
      <c r="K75" s="89">
        <v>1462.626278</v>
      </c>
      <c r="L75" s="89">
        <v>-82.500123999999232</v>
      </c>
      <c r="M75" s="89">
        <f>IF(OR(H75="NA",I75="NA",J75="NA",K75="NA",L75="NA"),"NA",IF(AND(H75="",I75="",J75="",K75="",L75=""),"",SUM(H75:L75)))</f>
        <v>10974.885242</v>
      </c>
      <c r="N75" s="89">
        <f t="shared" ref="N75:N77" si="73">H75+I75</f>
        <v>9103.823715999999</v>
      </c>
      <c r="O75" s="546"/>
      <c r="P75" s="178">
        <f t="shared" si="71"/>
        <v>0</v>
      </c>
      <c r="Q75" s="179">
        <f t="shared" si="72"/>
        <v>0</v>
      </c>
    </row>
    <row r="76" spans="1:17" ht="10.35" customHeight="1" x14ac:dyDescent="0.25">
      <c r="A76" s="143" t="s">
        <v>1646</v>
      </c>
      <c r="B76" s="549" t="s">
        <v>1048</v>
      </c>
      <c r="C76" s="602" t="s">
        <v>2945</v>
      </c>
      <c r="D76" s="602" t="s">
        <v>48</v>
      </c>
      <c r="E76" s="89">
        <v>2922.9513109999998</v>
      </c>
      <c r="F76" s="89">
        <v>1075.4364579999999</v>
      </c>
      <c r="G76" s="89">
        <v>-203.50596599999972</v>
      </c>
      <c r="H76" s="89">
        <f>IF(OR(E76="NA",F76="NA",G76="NA"),"NA",IF(AND(E76="",F76="",G76=""),"",SUM(E76:G76)))</f>
        <v>3794.8818030000002</v>
      </c>
      <c r="I76" s="89">
        <v>2.0240000000000002E-3</v>
      </c>
      <c r="J76" s="89">
        <v>688.03165999999999</v>
      </c>
      <c r="K76" s="89">
        <v>277.68182100000001</v>
      </c>
      <c r="L76" s="89">
        <v>-414.45463600000039</v>
      </c>
      <c r="M76" s="89">
        <f>IF(OR(H76="NA",I76="NA",J76="NA",K76="NA",L76="NA"),"NA",IF(AND(H76="",I76="",J76="",K76="",L76=""),"",SUM(H76:L76)))</f>
        <v>4346.1426719999999</v>
      </c>
      <c r="N76" s="89">
        <f t="shared" si="73"/>
        <v>3794.8838270000001</v>
      </c>
      <c r="O76" s="546"/>
      <c r="P76" s="178">
        <f t="shared" si="71"/>
        <v>0</v>
      </c>
      <c r="Q76" s="179">
        <f t="shared" si="72"/>
        <v>0</v>
      </c>
    </row>
    <row r="77" spans="1:17" ht="10.35" customHeight="1" x14ac:dyDescent="0.25">
      <c r="A77" s="143" t="s">
        <v>1647</v>
      </c>
      <c r="B77" s="549" t="s">
        <v>1049</v>
      </c>
      <c r="C77" s="602" t="s">
        <v>2946</v>
      </c>
      <c r="D77" s="602" t="s">
        <v>48</v>
      </c>
      <c r="E77" s="89">
        <v>0.47255900000000001</v>
      </c>
      <c r="F77" s="89">
        <v>0</v>
      </c>
      <c r="G77" s="617">
        <v>0</v>
      </c>
      <c r="H77" s="89">
        <f t="shared" ref="H77" si="74">IF(OR(E77="NA",F77="NA"),"NA",IF(AND(E77="",F77=""),"",SUM(E77:G77)))</f>
        <v>0.47255900000000001</v>
      </c>
      <c r="I77" s="89">
        <v>0</v>
      </c>
      <c r="J77" s="89">
        <v>1.525541</v>
      </c>
      <c r="K77" s="89">
        <v>2.7303000000000001E-2</v>
      </c>
      <c r="L77" s="617">
        <v>0</v>
      </c>
      <c r="M77" s="89">
        <f>IF(OR(H77="NA",I77="NA",J77="NA",K77="NA"),"NA",IF(AND(H77="",I77="",J77="",K77=""),"",SUM(H77:L77)))</f>
        <v>2.0254029999999998</v>
      </c>
      <c r="N77" s="89">
        <f t="shared" si="73"/>
        <v>0.47255900000000001</v>
      </c>
      <c r="O77" s="546"/>
      <c r="P77" s="178">
        <f t="shared" si="71"/>
        <v>0</v>
      </c>
      <c r="Q77" s="179">
        <f t="shared" si="72"/>
        <v>0</v>
      </c>
    </row>
    <row r="78" spans="1:17" ht="15" customHeight="1" x14ac:dyDescent="0.25">
      <c r="A78" s="143" t="s">
        <v>1648</v>
      </c>
      <c r="B78" s="547" t="s">
        <v>1050</v>
      </c>
      <c r="C78" s="601" t="s">
        <v>2947</v>
      </c>
      <c r="D78" s="601" t="s">
        <v>48</v>
      </c>
      <c r="E78" s="89">
        <v>8621.2883230000007</v>
      </c>
      <c r="F78" s="89">
        <v>8.4560089999999999</v>
      </c>
      <c r="G78" s="89">
        <v>0</v>
      </c>
      <c r="H78" s="89">
        <f>IF(OR(E78="NA",F78="NA",G78="NA"),"NA",IF(AND(E78="",F78="",G78=""),"",SUM(E78:G78)))</f>
        <v>8629.7443320000002</v>
      </c>
      <c r="I78" s="89">
        <v>7.9368480000000003</v>
      </c>
      <c r="J78" s="89">
        <v>151.24175</v>
      </c>
      <c r="K78" s="89">
        <v>1161.8124879999998</v>
      </c>
      <c r="L78" s="89">
        <v>-29.364490999998452</v>
      </c>
      <c r="M78" s="89">
        <f>IF(OR(H78="NA",I78="NA",J78="NA",K78="NA",L78="NA"),"NA",IF(AND(H78="",I78="",J78="",K78="",L78=""),"",SUM(H78:L78)))</f>
        <v>9921.3709269999999</v>
      </c>
      <c r="N78" s="89">
        <f>H78+I78</f>
        <v>8637.6811799999996</v>
      </c>
      <c r="O78" s="546"/>
      <c r="P78" s="178">
        <f t="shared" si="71"/>
        <v>0</v>
      </c>
      <c r="Q78" s="179">
        <f t="shared" si="72"/>
        <v>0</v>
      </c>
    </row>
    <row r="79" spans="1:17" ht="15" customHeight="1" x14ac:dyDescent="0.25">
      <c r="A79" s="143" t="s">
        <v>1649</v>
      </c>
      <c r="B79" s="547" t="s">
        <v>1051</v>
      </c>
      <c r="C79" s="601" t="s">
        <v>2948</v>
      </c>
      <c r="D79" s="601" t="s">
        <v>48</v>
      </c>
      <c r="E79" s="89">
        <f t="shared" ref="E79:G79" si="75">IF(OR(E80="NA",E83="NA"),"NA",IF(AND(E80="",E83=""),"",SUM(E80)+SUM(E83)))</f>
        <v>2267.8345840000002</v>
      </c>
      <c r="F79" s="89">
        <f t="shared" si="75"/>
        <v>28.288374000000001</v>
      </c>
      <c r="G79" s="89">
        <f t="shared" si="75"/>
        <v>-21.730052999999902</v>
      </c>
      <c r="H79" s="89">
        <f t="shared" ref="H79:K79" si="76">IF(OR(H80="NA",H83="NA"),"NA",IF(AND(H80="",H83=""),"",SUM(H80)+SUM(H83)))</f>
        <v>2274.3929050000002</v>
      </c>
      <c r="I79" s="89">
        <f t="shared" si="76"/>
        <v>36.292548999999994</v>
      </c>
      <c r="J79" s="89">
        <f t="shared" si="76"/>
        <v>1122.8559830000002</v>
      </c>
      <c r="K79" s="89">
        <f t="shared" si="76"/>
        <v>3082.8758800000001</v>
      </c>
      <c r="L79" s="89">
        <f t="shared" ref="L79" si="77">IF(OR(L80="NA",L83="NA"),"NA",IF(AND(L80="",L83=""),"",SUM(L80)+SUM(L83)))</f>
        <v>-314.99840100000029</v>
      </c>
      <c r="M79" s="89">
        <f t="shared" ref="M79:N79" si="78">IF(OR(M80="NA",M83="NA"),"NA",IF(AND(M80="",M83=""),"",SUM(M80)+SUM(M83)))</f>
        <v>6201.4189159999987</v>
      </c>
      <c r="N79" s="89">
        <f t="shared" si="78"/>
        <v>2310.6854539999999</v>
      </c>
      <c r="O79" s="546"/>
      <c r="P79" s="178">
        <f t="shared" si="71"/>
        <v>-4.5474735088646412E-13</v>
      </c>
      <c r="Q79" s="179">
        <f t="shared" si="72"/>
        <v>0</v>
      </c>
    </row>
    <row r="80" spans="1:17" ht="10.35" customHeight="1" x14ac:dyDescent="0.25">
      <c r="A80" s="143" t="s">
        <v>1650</v>
      </c>
      <c r="B80" s="549" t="s">
        <v>1052</v>
      </c>
      <c r="C80" s="602" t="s">
        <v>2928</v>
      </c>
      <c r="D80" s="602" t="s">
        <v>48</v>
      </c>
      <c r="E80" s="89">
        <v>1668.7729770000001</v>
      </c>
      <c r="F80" s="89">
        <v>25.609687000000001</v>
      </c>
      <c r="G80" s="89">
        <v>-20.782639999999901</v>
      </c>
      <c r="H80" s="89">
        <f>IF(OR(E80="NA",F80="NA",G80="NA"),"NA",IF(AND(E80="",F80="",G80=""),"",SUM(E80:G80)))</f>
        <v>1673.6000240000001</v>
      </c>
      <c r="I80" s="89">
        <v>35.345135999999997</v>
      </c>
      <c r="J80" s="89">
        <v>1068.8994070000001</v>
      </c>
      <c r="K80" s="89">
        <v>3029.4386909999998</v>
      </c>
      <c r="L80" s="89">
        <v>-314.99840100000029</v>
      </c>
      <c r="M80" s="89">
        <f>IF(OR(H80="NA",I80="NA",J80="NA",K80="NA"),"NA",IF(AND(H80="",I80="",J80="",K80=""),"",SUM(H80:L80)))</f>
        <v>5492.2848569999987</v>
      </c>
      <c r="N80" s="89">
        <f>H80+I80</f>
        <v>1708.94516</v>
      </c>
      <c r="O80" s="546"/>
      <c r="P80" s="178">
        <f t="shared" si="71"/>
        <v>0</v>
      </c>
      <c r="Q80" s="179">
        <f t="shared" si="72"/>
        <v>0</v>
      </c>
    </row>
    <row r="81" spans="1:31" s="271" customFormat="1" ht="10.35" hidden="1" customHeight="1" x14ac:dyDescent="0.25">
      <c r="A81" s="139" t="s">
        <v>1969</v>
      </c>
      <c r="B81" s="549" t="s">
        <v>288</v>
      </c>
      <c r="C81" s="603" t="s">
        <v>2949</v>
      </c>
      <c r="D81" s="603" t="s">
        <v>48</v>
      </c>
      <c r="E81" s="424" t="s">
        <v>2622</v>
      </c>
      <c r="F81" s="424" t="s">
        <v>2622</v>
      </c>
      <c r="G81" s="424" t="s">
        <v>2622</v>
      </c>
      <c r="H81" s="424" t="s">
        <v>2622</v>
      </c>
      <c r="I81" s="424" t="s">
        <v>2622</v>
      </c>
      <c r="J81" s="424" t="s">
        <v>2622</v>
      </c>
      <c r="K81" s="424" t="s">
        <v>2622</v>
      </c>
      <c r="L81" s="424" t="s">
        <v>2622</v>
      </c>
      <c r="M81" s="424" t="s">
        <v>2622</v>
      </c>
      <c r="N81" s="424" t="s">
        <v>2622</v>
      </c>
      <c r="O81" s="546"/>
      <c r="P81" s="376" t="str">
        <f t="shared" si="71"/>
        <v>NA</v>
      </c>
      <c r="Q81" s="377" t="str">
        <f t="shared" si="72"/>
        <v>NA</v>
      </c>
      <c r="R81" s="485"/>
      <c r="S81" s="485"/>
      <c r="T81" s="485"/>
      <c r="U81" s="485"/>
      <c r="V81" s="485"/>
      <c r="W81" s="485"/>
      <c r="X81" s="485"/>
      <c r="Y81" s="485"/>
      <c r="Z81" s="485"/>
      <c r="AA81" s="485"/>
      <c r="AB81" s="485"/>
      <c r="AC81" s="485"/>
      <c r="AD81" s="485"/>
      <c r="AE81" s="485"/>
    </row>
    <row r="82" spans="1:31" s="271" customFormat="1" ht="10.35" hidden="1" customHeight="1" x14ac:dyDescent="0.25">
      <c r="A82" s="139" t="s">
        <v>1970</v>
      </c>
      <c r="B82" s="549" t="s">
        <v>289</v>
      </c>
      <c r="C82" s="603" t="s">
        <v>2950</v>
      </c>
      <c r="D82" s="603" t="s">
        <v>48</v>
      </c>
      <c r="E82" s="424" t="s">
        <v>2622</v>
      </c>
      <c r="F82" s="424" t="s">
        <v>2622</v>
      </c>
      <c r="G82" s="424" t="s">
        <v>2622</v>
      </c>
      <c r="H82" s="424" t="s">
        <v>2622</v>
      </c>
      <c r="I82" s="424" t="s">
        <v>2622</v>
      </c>
      <c r="J82" s="424" t="s">
        <v>2622</v>
      </c>
      <c r="K82" s="424" t="s">
        <v>2622</v>
      </c>
      <c r="L82" s="424" t="s">
        <v>2622</v>
      </c>
      <c r="M82" s="424" t="s">
        <v>2622</v>
      </c>
      <c r="N82" s="424" t="s">
        <v>2622</v>
      </c>
      <c r="O82" s="546"/>
      <c r="P82" s="376" t="str">
        <f t="shared" si="71"/>
        <v>NA</v>
      </c>
      <c r="Q82" s="377" t="str">
        <f t="shared" si="72"/>
        <v>NA</v>
      </c>
      <c r="R82" s="485"/>
      <c r="S82" s="485"/>
      <c r="T82" s="485"/>
      <c r="U82" s="485"/>
      <c r="V82" s="485"/>
      <c r="W82" s="485"/>
      <c r="X82" s="485"/>
      <c r="Y82" s="485"/>
      <c r="Z82" s="485"/>
      <c r="AA82" s="485"/>
      <c r="AB82" s="485"/>
      <c r="AC82" s="485"/>
      <c r="AD82" s="485"/>
      <c r="AE82" s="485"/>
    </row>
    <row r="83" spans="1:31" ht="10.35" customHeight="1" x14ac:dyDescent="0.25">
      <c r="A83" s="143" t="s">
        <v>1651</v>
      </c>
      <c r="B83" s="549" t="s">
        <v>1053</v>
      </c>
      <c r="C83" s="602" t="s">
        <v>2951</v>
      </c>
      <c r="D83" s="602" t="s">
        <v>48</v>
      </c>
      <c r="E83" s="89">
        <v>599.06160699999998</v>
      </c>
      <c r="F83" s="89">
        <v>2.678687</v>
      </c>
      <c r="G83" s="89">
        <v>-0.94741300000000006</v>
      </c>
      <c r="H83" s="89">
        <f>IF(OR(E83="NA",F83="NA",G83="NA"),"NA",IF(AND(E83="",F83="",G83=""),"",SUM(E83:G83)))</f>
        <v>600.79288099999997</v>
      </c>
      <c r="I83" s="89">
        <v>0.94741299999999995</v>
      </c>
      <c r="J83" s="89">
        <v>53.956575999999998</v>
      </c>
      <c r="K83" s="89">
        <v>53.437188999999996</v>
      </c>
      <c r="L83" s="89">
        <v>0</v>
      </c>
      <c r="M83" s="89">
        <f>IF(OR(H83="NA",I83="NA",J83="NA",K83="NA",L83="NA"),"NA",IF(AND(H83="",I83="",J83="",K83="",L83=""),"",SUM(H83:L83)))</f>
        <v>709.13405899999998</v>
      </c>
      <c r="N83" s="89">
        <f>H83+I83</f>
        <v>601.74029399999995</v>
      </c>
      <c r="O83" s="546"/>
      <c r="P83" s="178">
        <f t="shared" si="71"/>
        <v>0</v>
      </c>
      <c r="Q83" s="179">
        <f t="shared" si="72"/>
        <v>0</v>
      </c>
    </row>
    <row r="84" spans="1:31" ht="38.25" customHeight="1" x14ac:dyDescent="0.25">
      <c r="A84" s="143" t="s">
        <v>1652</v>
      </c>
      <c r="B84" s="547" t="s">
        <v>1054</v>
      </c>
      <c r="C84" s="606" t="s">
        <v>2952</v>
      </c>
      <c r="D84" s="606" t="s">
        <v>48</v>
      </c>
      <c r="E84" s="89">
        <f t="shared" ref="E84:G84" si="79">IF(OR(E85="NA",E89="NA"),"NA",IF(AND(E85="",E89=""),"",SUM(E85)+SUM(E89)))</f>
        <v>142.53217900000001</v>
      </c>
      <c r="F84" s="89">
        <f t="shared" si="79"/>
        <v>7.2339120000000001</v>
      </c>
      <c r="G84" s="89">
        <f t="shared" si="79"/>
        <v>0</v>
      </c>
      <c r="H84" s="89">
        <f t="shared" ref="H84:K84" si="80">IF(OR(H85="NA",H89="NA"),"NA",IF(AND(H85="",H89=""),"",SUM(H85)+SUM(H89)))</f>
        <v>149.76609100000002</v>
      </c>
      <c r="I84" s="89">
        <f t="shared" si="80"/>
        <v>0</v>
      </c>
      <c r="J84" s="89">
        <f t="shared" si="80"/>
        <v>26.053733999999999</v>
      </c>
      <c r="K84" s="89">
        <f t="shared" si="80"/>
        <v>0</v>
      </c>
      <c r="L84" s="89">
        <f t="shared" ref="L84" si="81">IF(OR(L85="NA",L89="NA"),"NA",IF(AND(L85="",L89=""),"",SUM(L85)+SUM(L89)))</f>
        <v>0</v>
      </c>
      <c r="M84" s="89">
        <f t="shared" ref="M84:N84" si="82">IF(OR(M85="NA",M89="NA"),"NA",IF(AND(M85="",M89=""),"",SUM(M85)+SUM(M89)))</f>
        <v>175.81982500000001</v>
      </c>
      <c r="N84" s="89">
        <f t="shared" si="82"/>
        <v>149.76609100000002</v>
      </c>
      <c r="O84" s="615"/>
      <c r="P84" s="178">
        <f t="shared" si="71"/>
        <v>0</v>
      </c>
      <c r="Q84" s="179">
        <f t="shared" si="72"/>
        <v>0</v>
      </c>
    </row>
    <row r="85" spans="1:31" ht="10.35" customHeight="1" x14ac:dyDescent="0.25">
      <c r="A85" s="143" t="s">
        <v>2403</v>
      </c>
      <c r="B85" s="549" t="s">
        <v>1055</v>
      </c>
      <c r="C85" s="602" t="s">
        <v>2953</v>
      </c>
      <c r="D85" s="602" t="s">
        <v>48</v>
      </c>
      <c r="E85" s="89">
        <v>142.53217900000001</v>
      </c>
      <c r="F85" s="89">
        <v>7.2339120000000001</v>
      </c>
      <c r="G85" s="89">
        <v>0</v>
      </c>
      <c r="H85" s="89">
        <f t="shared" ref="H85" si="83">IF(OR(E85="NA",F85="NA"),"NA",IF(AND(E85="",F85=""),"",SUM(E85:G85)))</f>
        <v>149.76609100000002</v>
      </c>
      <c r="I85" s="89">
        <v>0</v>
      </c>
      <c r="J85" s="89">
        <v>26.053733999999999</v>
      </c>
      <c r="K85" s="89">
        <v>0</v>
      </c>
      <c r="L85" s="89">
        <v>0</v>
      </c>
      <c r="M85" s="89">
        <f>IF(OR(H85="NA",I85="NA",J85="NA",K85="NA"),"NA",IF(AND(H85="",I85="",J85="",K85=""),"",SUM(H85:L85)))</f>
        <v>175.81982500000001</v>
      </c>
      <c r="N85" s="89">
        <f>H85+I85</f>
        <v>149.76609100000002</v>
      </c>
      <c r="O85" s="546"/>
      <c r="P85" s="178">
        <f t="shared" si="71"/>
        <v>0</v>
      </c>
      <c r="Q85" s="179">
        <f t="shared" si="72"/>
        <v>0</v>
      </c>
    </row>
    <row r="86" spans="1:31" s="271" customFormat="1" ht="10.35" hidden="1" customHeight="1" x14ac:dyDescent="0.25">
      <c r="A86" s="139" t="s">
        <v>2404</v>
      </c>
      <c r="B86" s="549" t="s">
        <v>301</v>
      </c>
      <c r="C86" s="607" t="s">
        <v>2954</v>
      </c>
      <c r="D86" s="607" t="s">
        <v>48</v>
      </c>
      <c r="E86" s="424" t="s">
        <v>2622</v>
      </c>
      <c r="F86" s="424" t="s">
        <v>2622</v>
      </c>
      <c r="G86" s="424" t="s">
        <v>2622</v>
      </c>
      <c r="H86" s="424" t="s">
        <v>2622</v>
      </c>
      <c r="I86" s="424" t="s">
        <v>2622</v>
      </c>
      <c r="J86" s="424" t="s">
        <v>2622</v>
      </c>
      <c r="K86" s="424" t="s">
        <v>2622</v>
      </c>
      <c r="L86" s="424" t="s">
        <v>2622</v>
      </c>
      <c r="M86" s="424" t="s">
        <v>2622</v>
      </c>
      <c r="N86" s="424" t="s">
        <v>2622</v>
      </c>
      <c r="O86" s="546"/>
      <c r="P86" s="376" t="str">
        <f t="shared" si="71"/>
        <v>NA</v>
      </c>
      <c r="Q86" s="377" t="str">
        <f t="shared" si="72"/>
        <v>NA</v>
      </c>
      <c r="R86" s="485"/>
      <c r="S86" s="485"/>
      <c r="T86" s="485"/>
      <c r="U86" s="485"/>
      <c r="V86" s="485"/>
      <c r="W86" s="485"/>
      <c r="X86" s="485"/>
      <c r="Y86" s="485"/>
      <c r="Z86" s="485"/>
      <c r="AA86" s="485"/>
      <c r="AB86" s="485"/>
      <c r="AC86" s="485"/>
      <c r="AD86" s="485"/>
      <c r="AE86" s="485"/>
    </row>
    <row r="87" spans="1:31" s="271" customFormat="1" ht="10.35" hidden="1" customHeight="1" x14ac:dyDescent="0.25">
      <c r="A87" s="139" t="s">
        <v>2405</v>
      </c>
      <c r="B87" s="549" t="s">
        <v>302</v>
      </c>
      <c r="C87" s="603" t="s">
        <v>2955</v>
      </c>
      <c r="D87" s="603" t="s">
        <v>48</v>
      </c>
      <c r="E87" s="424" t="s">
        <v>2622</v>
      </c>
      <c r="F87" s="424" t="s">
        <v>2622</v>
      </c>
      <c r="G87" s="424" t="s">
        <v>2622</v>
      </c>
      <c r="H87" s="424" t="s">
        <v>2622</v>
      </c>
      <c r="I87" s="424" t="s">
        <v>2622</v>
      </c>
      <c r="J87" s="424" t="s">
        <v>2622</v>
      </c>
      <c r="K87" s="424" t="s">
        <v>2622</v>
      </c>
      <c r="L87" s="424" t="s">
        <v>2622</v>
      </c>
      <c r="M87" s="424" t="s">
        <v>2622</v>
      </c>
      <c r="N87" s="424" t="s">
        <v>2622</v>
      </c>
      <c r="O87" s="546"/>
      <c r="P87" s="376" t="str">
        <f t="shared" si="71"/>
        <v>NA</v>
      </c>
      <c r="Q87" s="377" t="str">
        <f t="shared" si="72"/>
        <v>NA</v>
      </c>
      <c r="R87" s="485"/>
      <c r="S87" s="485"/>
      <c r="T87" s="485"/>
      <c r="U87" s="485"/>
      <c r="V87" s="485"/>
      <c r="W87" s="485"/>
      <c r="X87" s="485"/>
      <c r="Y87" s="485"/>
      <c r="Z87" s="485"/>
      <c r="AA87" s="485"/>
      <c r="AB87" s="485"/>
      <c r="AC87" s="485"/>
      <c r="AD87" s="485"/>
      <c r="AE87" s="485"/>
    </row>
    <row r="88" spans="1:31" s="271" customFormat="1" ht="10.35" hidden="1" customHeight="1" x14ac:dyDescent="0.25">
      <c r="A88" s="139" t="s">
        <v>2406</v>
      </c>
      <c r="B88" s="549" t="s">
        <v>303</v>
      </c>
      <c r="C88" s="603" t="s">
        <v>2956</v>
      </c>
      <c r="D88" s="603" t="s">
        <v>48</v>
      </c>
      <c r="E88" s="424" t="s">
        <v>2622</v>
      </c>
      <c r="F88" s="424" t="s">
        <v>2622</v>
      </c>
      <c r="G88" s="424" t="s">
        <v>2622</v>
      </c>
      <c r="H88" s="424" t="s">
        <v>2622</v>
      </c>
      <c r="I88" s="424" t="s">
        <v>2622</v>
      </c>
      <c r="J88" s="424" t="s">
        <v>2622</v>
      </c>
      <c r="K88" s="424" t="s">
        <v>2622</v>
      </c>
      <c r="L88" s="424" t="s">
        <v>2622</v>
      </c>
      <c r="M88" s="424" t="s">
        <v>2622</v>
      </c>
      <c r="N88" s="424" t="s">
        <v>2622</v>
      </c>
      <c r="O88" s="546"/>
      <c r="P88" s="376" t="str">
        <f t="shared" si="71"/>
        <v>NA</v>
      </c>
      <c r="Q88" s="377" t="str">
        <f t="shared" si="72"/>
        <v>NA</v>
      </c>
      <c r="R88" s="485"/>
      <c r="S88" s="485"/>
      <c r="T88" s="485"/>
      <c r="U88" s="485"/>
      <c r="V88" s="485"/>
      <c r="W88" s="485"/>
      <c r="X88" s="485"/>
      <c r="Y88" s="485"/>
      <c r="Z88" s="485"/>
      <c r="AA88" s="485"/>
      <c r="AB88" s="485"/>
      <c r="AC88" s="485"/>
      <c r="AD88" s="485"/>
      <c r="AE88" s="485"/>
    </row>
    <row r="89" spans="1:31" ht="10.35" customHeight="1" x14ac:dyDescent="0.25">
      <c r="A89" s="143" t="s">
        <v>2407</v>
      </c>
      <c r="B89" s="536" t="s">
        <v>1056</v>
      </c>
      <c r="C89" s="608" t="s">
        <v>2957</v>
      </c>
      <c r="D89" s="608" t="s">
        <v>48</v>
      </c>
      <c r="E89" s="146">
        <v>0</v>
      </c>
      <c r="F89" s="146">
        <v>0</v>
      </c>
      <c r="G89" s="146">
        <v>0</v>
      </c>
      <c r="H89" s="146">
        <f>IF(OR(E89="NA",F89="NA",G89="NA"),"NA",IF(AND(E89="",F89="",G89=""),"",SUM(E89:G89)))</f>
        <v>0</v>
      </c>
      <c r="I89" s="146">
        <v>0</v>
      </c>
      <c r="J89" s="146">
        <v>0</v>
      </c>
      <c r="K89" s="146">
        <v>0</v>
      </c>
      <c r="L89" s="146">
        <v>0</v>
      </c>
      <c r="M89" s="146">
        <f>IF(OR(H89="NA",I89="NA",J89="NA",K89="NA",L89="NA"),"NA",IF(AND(H89="",I89="",J89="",K89="",L89=""),"",SUM(H89:L89)))</f>
        <v>0</v>
      </c>
      <c r="N89" s="146">
        <f>H89+I89</f>
        <v>0</v>
      </c>
      <c r="O89" s="546"/>
      <c r="P89" s="188">
        <f t="shared" si="71"/>
        <v>0</v>
      </c>
      <c r="Q89" s="189">
        <f t="shared" si="72"/>
        <v>0</v>
      </c>
    </row>
    <row r="90" spans="1:31" ht="15" hidden="1" customHeight="1" x14ac:dyDescent="0.25">
      <c r="A90" s="143"/>
      <c r="B90" s="609" t="s">
        <v>990</v>
      </c>
      <c r="C90" s="585" t="s">
        <v>2626</v>
      </c>
      <c r="D90" s="586" t="s">
        <v>48</v>
      </c>
      <c r="E90" s="436"/>
      <c r="F90" s="436"/>
      <c r="G90" s="436"/>
      <c r="H90" s="437"/>
      <c r="I90" s="436"/>
      <c r="J90" s="436"/>
      <c r="K90" s="437"/>
      <c r="L90" s="436"/>
      <c r="M90" s="438"/>
      <c r="N90" s="436"/>
      <c r="O90" s="434"/>
      <c r="P90" s="237"/>
      <c r="Q90" s="254"/>
    </row>
    <row r="91" spans="1:31" ht="15" hidden="1" customHeight="1" x14ac:dyDescent="0.25">
      <c r="A91" s="143"/>
      <c r="B91" s="587" t="s">
        <v>990</v>
      </c>
      <c r="C91" s="610" t="s">
        <v>2643</v>
      </c>
      <c r="D91" s="532"/>
      <c r="E91" s="373"/>
      <c r="F91" s="373"/>
      <c r="G91" s="373"/>
      <c r="H91" s="416"/>
      <c r="I91" s="373"/>
      <c r="J91" s="373"/>
      <c r="K91" s="416"/>
      <c r="L91" s="373"/>
      <c r="M91" s="417"/>
      <c r="N91" s="373"/>
      <c r="O91" s="434"/>
      <c r="P91" s="178"/>
      <c r="Q91" s="179"/>
    </row>
    <row r="92" spans="1:31" s="271" customFormat="1" ht="10.35" hidden="1" customHeight="1" x14ac:dyDescent="0.25">
      <c r="A92" s="139" t="s">
        <v>1971</v>
      </c>
      <c r="B92" s="549" t="s">
        <v>414</v>
      </c>
      <c r="C92" s="550" t="s">
        <v>2644</v>
      </c>
      <c r="D92" s="532" t="s">
        <v>48</v>
      </c>
      <c r="E92" s="424" t="s">
        <v>2622</v>
      </c>
      <c r="F92" s="424" t="s">
        <v>2622</v>
      </c>
      <c r="G92" s="424" t="s">
        <v>2622</v>
      </c>
      <c r="H92" s="424" t="s">
        <v>2622</v>
      </c>
      <c r="I92" s="424" t="s">
        <v>2622</v>
      </c>
      <c r="J92" s="424" t="s">
        <v>2622</v>
      </c>
      <c r="K92" s="424" t="s">
        <v>2622</v>
      </c>
      <c r="L92" s="424" t="s">
        <v>2622</v>
      </c>
      <c r="M92" s="424" t="s">
        <v>2622</v>
      </c>
      <c r="N92" s="424" t="s">
        <v>2622</v>
      </c>
      <c r="O92" s="434"/>
      <c r="P92" s="376" t="str">
        <f>IF(OR(H92="NA",E92="NA",F92="NA",G92="NA"),"NA",SUM(H92)-SUM(E92:G92))</f>
        <v>NA</v>
      </c>
      <c r="Q92" s="377" t="str">
        <f>IF(OR(M92="NA",H92="NA",I92="NA",J92="NA",K92="NA",L92="NA"),"NA",SUM(M92)-SUM(H92:L92))</f>
        <v>NA</v>
      </c>
      <c r="R92" s="485"/>
      <c r="S92" s="485"/>
      <c r="T92" s="485"/>
      <c r="U92" s="485"/>
      <c r="V92" s="485"/>
      <c r="W92" s="485"/>
      <c r="X92" s="485"/>
      <c r="Y92" s="485"/>
      <c r="Z92" s="485"/>
      <c r="AA92" s="485"/>
      <c r="AB92" s="485"/>
      <c r="AC92" s="485"/>
      <c r="AD92" s="485"/>
      <c r="AE92" s="485"/>
    </row>
    <row r="93" spans="1:31" s="271" customFormat="1" ht="10.35" hidden="1" customHeight="1" x14ac:dyDescent="0.25">
      <c r="A93" s="139" t="s">
        <v>1972</v>
      </c>
      <c r="B93" s="551" t="s">
        <v>415</v>
      </c>
      <c r="C93" s="552" t="s">
        <v>2645</v>
      </c>
      <c r="D93" s="553" t="s">
        <v>48</v>
      </c>
      <c r="E93" s="424" t="s">
        <v>2622</v>
      </c>
      <c r="F93" s="424" t="s">
        <v>2622</v>
      </c>
      <c r="G93" s="424" t="s">
        <v>2622</v>
      </c>
      <c r="H93" s="424" t="s">
        <v>2622</v>
      </c>
      <c r="I93" s="424" t="s">
        <v>2622</v>
      </c>
      <c r="J93" s="424" t="s">
        <v>2622</v>
      </c>
      <c r="K93" s="424" t="s">
        <v>2622</v>
      </c>
      <c r="L93" s="424" t="s">
        <v>2622</v>
      </c>
      <c r="M93" s="424" t="s">
        <v>2622</v>
      </c>
      <c r="N93" s="424" t="s">
        <v>2622</v>
      </c>
      <c r="O93" s="434"/>
      <c r="P93" s="378" t="str">
        <f>IF(OR(H93="NA",E93="NA",F93="NA",G93="NA"),"NA",SUM(H93)-SUM(E93:G93))</f>
        <v>NA</v>
      </c>
      <c r="Q93" s="379" t="str">
        <f>IF(OR(M93="NA",H93="NA",I93="NA",J93="NA",K93="NA",L93="NA"),"NA",SUM(M93)-SUM(H93:L93))</f>
        <v>NA</v>
      </c>
      <c r="R93" s="485"/>
      <c r="S93" s="485"/>
      <c r="T93" s="485"/>
      <c r="U93" s="485"/>
      <c r="V93" s="485"/>
      <c r="W93" s="485"/>
      <c r="X93" s="485"/>
      <c r="Y93" s="485"/>
      <c r="Z93" s="485"/>
      <c r="AA93" s="485"/>
      <c r="AB93" s="485"/>
      <c r="AC93" s="485"/>
      <c r="AD93" s="485"/>
      <c r="AE93" s="485"/>
    </row>
    <row r="94" spans="1:31" ht="15" hidden="1" customHeight="1" x14ac:dyDescent="0.25">
      <c r="A94" s="143"/>
      <c r="B94" s="587" t="s">
        <v>990</v>
      </c>
      <c r="C94" s="610" t="s">
        <v>2646</v>
      </c>
      <c r="D94" s="532"/>
      <c r="E94" s="373"/>
      <c r="F94" s="373"/>
      <c r="G94" s="373"/>
      <c r="H94" s="416"/>
      <c r="I94" s="373"/>
      <c r="J94" s="373"/>
      <c r="K94" s="416"/>
      <c r="L94" s="373"/>
      <c r="M94" s="417"/>
      <c r="N94" s="373"/>
      <c r="O94" s="434"/>
      <c r="P94" s="178"/>
      <c r="Q94" s="255"/>
    </row>
    <row r="95" spans="1:31" s="271" customFormat="1" ht="10.35" hidden="1" customHeight="1" x14ac:dyDescent="0.25">
      <c r="A95" s="139" t="s">
        <v>2432</v>
      </c>
      <c r="B95" s="549" t="s">
        <v>563</v>
      </c>
      <c r="C95" s="550" t="s">
        <v>2647</v>
      </c>
      <c r="D95" s="532" t="s">
        <v>48</v>
      </c>
      <c r="E95" s="424" t="s">
        <v>2622</v>
      </c>
      <c r="F95" s="424" t="s">
        <v>2622</v>
      </c>
      <c r="G95" s="424" t="s">
        <v>2622</v>
      </c>
      <c r="H95" s="424" t="s">
        <v>2622</v>
      </c>
      <c r="I95" s="424" t="s">
        <v>2622</v>
      </c>
      <c r="J95" s="424" t="s">
        <v>2622</v>
      </c>
      <c r="K95" s="424" t="s">
        <v>2622</v>
      </c>
      <c r="L95" s="424" t="s">
        <v>2622</v>
      </c>
      <c r="M95" s="424" t="s">
        <v>2622</v>
      </c>
      <c r="N95" s="424" t="s">
        <v>2622</v>
      </c>
      <c r="O95" s="434"/>
      <c r="P95" s="376" t="str">
        <f t="shared" ref="P95:P100" si="84">IF(OR(H95="NA",E95="NA",F95="NA",G95="NA"),"NA",SUM(H95)-SUM(E95:G95))</f>
        <v>NA</v>
      </c>
      <c r="Q95" s="377" t="str">
        <f t="shared" ref="Q95:Q100" si="85">IF(OR(M95="NA",H95="NA",I95="NA",J95="NA",K95="NA",L95="NA"),"NA",SUM(M95)-SUM(H95:L95))</f>
        <v>NA</v>
      </c>
      <c r="R95" s="485"/>
      <c r="S95" s="485"/>
      <c r="T95" s="485"/>
      <c r="U95" s="485"/>
      <c r="V95" s="485"/>
      <c r="W95" s="485"/>
      <c r="X95" s="485"/>
      <c r="Y95" s="485"/>
      <c r="Z95" s="485"/>
      <c r="AA95" s="485"/>
      <c r="AB95" s="485"/>
      <c r="AC95" s="485"/>
      <c r="AD95" s="485"/>
      <c r="AE95" s="485"/>
    </row>
    <row r="96" spans="1:31" s="271" customFormat="1" ht="10.35" hidden="1" customHeight="1" x14ac:dyDescent="0.25">
      <c r="A96" s="139" t="s">
        <v>2433</v>
      </c>
      <c r="B96" s="549" t="s">
        <v>562</v>
      </c>
      <c r="C96" s="550" t="s">
        <v>2648</v>
      </c>
      <c r="D96" s="532" t="s">
        <v>48</v>
      </c>
      <c r="E96" s="424" t="s">
        <v>2622</v>
      </c>
      <c r="F96" s="424" t="s">
        <v>2622</v>
      </c>
      <c r="G96" s="424" t="s">
        <v>2622</v>
      </c>
      <c r="H96" s="424" t="s">
        <v>2622</v>
      </c>
      <c r="I96" s="424" t="s">
        <v>2622</v>
      </c>
      <c r="J96" s="424" t="s">
        <v>2622</v>
      </c>
      <c r="K96" s="424" t="s">
        <v>2622</v>
      </c>
      <c r="L96" s="424" t="s">
        <v>2622</v>
      </c>
      <c r="M96" s="424" t="s">
        <v>2622</v>
      </c>
      <c r="N96" s="424" t="s">
        <v>2622</v>
      </c>
      <c r="O96" s="434"/>
      <c r="P96" s="376" t="str">
        <f t="shared" si="84"/>
        <v>NA</v>
      </c>
      <c r="Q96" s="377" t="str">
        <f t="shared" si="85"/>
        <v>NA</v>
      </c>
      <c r="R96" s="485"/>
      <c r="S96" s="485"/>
      <c r="T96" s="485"/>
      <c r="U96" s="485"/>
      <c r="V96" s="485"/>
      <c r="W96" s="485"/>
      <c r="X96" s="485"/>
      <c r="Y96" s="485"/>
      <c r="Z96" s="485"/>
      <c r="AA96" s="485"/>
      <c r="AB96" s="485"/>
      <c r="AC96" s="485"/>
      <c r="AD96" s="485"/>
      <c r="AE96" s="485"/>
    </row>
    <row r="97" spans="1:31" s="271" customFormat="1" ht="10.35" hidden="1" customHeight="1" x14ac:dyDescent="0.25">
      <c r="A97" s="139" t="s">
        <v>2434</v>
      </c>
      <c r="B97" s="549" t="s">
        <v>548</v>
      </c>
      <c r="C97" s="602" t="s">
        <v>2649</v>
      </c>
      <c r="D97" s="532" t="s">
        <v>48</v>
      </c>
      <c r="E97" s="424" t="s">
        <v>2622</v>
      </c>
      <c r="F97" s="424" t="s">
        <v>2622</v>
      </c>
      <c r="G97" s="424" t="s">
        <v>2622</v>
      </c>
      <c r="H97" s="424" t="s">
        <v>2622</v>
      </c>
      <c r="I97" s="424" t="s">
        <v>2622</v>
      </c>
      <c r="J97" s="424" t="s">
        <v>2622</v>
      </c>
      <c r="K97" s="424" t="s">
        <v>2622</v>
      </c>
      <c r="L97" s="424" t="s">
        <v>2622</v>
      </c>
      <c r="M97" s="424" t="s">
        <v>2622</v>
      </c>
      <c r="N97" s="424" t="s">
        <v>2622</v>
      </c>
      <c r="O97" s="434"/>
      <c r="P97" s="376" t="str">
        <f t="shared" si="84"/>
        <v>NA</v>
      </c>
      <c r="Q97" s="377" t="str">
        <f t="shared" si="85"/>
        <v>NA</v>
      </c>
      <c r="R97" s="485"/>
      <c r="S97" s="485"/>
      <c r="T97" s="485"/>
      <c r="U97" s="485"/>
      <c r="V97" s="485"/>
      <c r="W97" s="485"/>
      <c r="X97" s="485"/>
      <c r="Y97" s="485"/>
      <c r="Z97" s="485"/>
      <c r="AA97" s="485"/>
      <c r="AB97" s="485"/>
      <c r="AC97" s="485"/>
      <c r="AD97" s="485"/>
      <c r="AE97" s="485"/>
    </row>
    <row r="98" spans="1:31" s="271" customFormat="1" ht="10.35" hidden="1" customHeight="1" x14ac:dyDescent="0.25">
      <c r="A98" s="139" t="s">
        <v>2435</v>
      </c>
      <c r="B98" s="549" t="s">
        <v>549</v>
      </c>
      <c r="C98" s="602" t="s">
        <v>2650</v>
      </c>
      <c r="D98" s="532" t="s">
        <v>48</v>
      </c>
      <c r="E98" s="424" t="s">
        <v>2622</v>
      </c>
      <c r="F98" s="424" t="s">
        <v>2622</v>
      </c>
      <c r="G98" s="424" t="s">
        <v>2622</v>
      </c>
      <c r="H98" s="424" t="s">
        <v>2622</v>
      </c>
      <c r="I98" s="424" t="s">
        <v>2622</v>
      </c>
      <c r="J98" s="424" t="s">
        <v>2622</v>
      </c>
      <c r="K98" s="424" t="s">
        <v>2622</v>
      </c>
      <c r="L98" s="424" t="s">
        <v>2622</v>
      </c>
      <c r="M98" s="424" t="s">
        <v>2622</v>
      </c>
      <c r="N98" s="424" t="s">
        <v>2622</v>
      </c>
      <c r="O98" s="434"/>
      <c r="P98" s="376" t="str">
        <f t="shared" si="84"/>
        <v>NA</v>
      </c>
      <c r="Q98" s="377" t="str">
        <f t="shared" si="85"/>
        <v>NA</v>
      </c>
      <c r="R98" s="485"/>
      <c r="S98" s="485"/>
      <c r="T98" s="485"/>
      <c r="U98" s="485"/>
      <c r="V98" s="485"/>
      <c r="W98" s="485"/>
      <c r="X98" s="485"/>
      <c r="Y98" s="485"/>
      <c r="Z98" s="485"/>
      <c r="AA98" s="485"/>
      <c r="AB98" s="485"/>
      <c r="AC98" s="485"/>
      <c r="AD98" s="485"/>
      <c r="AE98" s="485"/>
    </row>
    <row r="99" spans="1:31" s="271" customFormat="1" ht="10.35" hidden="1" customHeight="1" x14ac:dyDescent="0.25">
      <c r="A99" s="139" t="s">
        <v>2436</v>
      </c>
      <c r="B99" s="549" t="s">
        <v>550</v>
      </c>
      <c r="C99" s="602" t="s">
        <v>2651</v>
      </c>
      <c r="D99" s="532" t="s">
        <v>48</v>
      </c>
      <c r="E99" s="424" t="s">
        <v>2622</v>
      </c>
      <c r="F99" s="424" t="s">
        <v>2622</v>
      </c>
      <c r="G99" s="424" t="s">
        <v>2622</v>
      </c>
      <c r="H99" s="424" t="s">
        <v>2622</v>
      </c>
      <c r="I99" s="424" t="s">
        <v>2622</v>
      </c>
      <c r="J99" s="424" t="s">
        <v>2622</v>
      </c>
      <c r="K99" s="424" t="s">
        <v>2622</v>
      </c>
      <c r="L99" s="424" t="s">
        <v>2622</v>
      </c>
      <c r="M99" s="424" t="s">
        <v>2622</v>
      </c>
      <c r="N99" s="424" t="s">
        <v>2622</v>
      </c>
      <c r="O99" s="434"/>
      <c r="P99" s="376" t="str">
        <f t="shared" si="84"/>
        <v>NA</v>
      </c>
      <c r="Q99" s="377" t="str">
        <f t="shared" si="85"/>
        <v>NA</v>
      </c>
      <c r="R99" s="485"/>
      <c r="S99" s="485"/>
      <c r="T99" s="485"/>
      <c r="U99" s="485"/>
      <c r="V99" s="485"/>
      <c r="W99" s="485"/>
      <c r="X99" s="485"/>
      <c r="Y99" s="485"/>
      <c r="Z99" s="485"/>
      <c r="AA99" s="485"/>
      <c r="AB99" s="485"/>
      <c r="AC99" s="485"/>
      <c r="AD99" s="485"/>
      <c r="AE99" s="485"/>
    </row>
    <row r="100" spans="1:31" s="271" customFormat="1" ht="10.35" hidden="1" customHeight="1" x14ac:dyDescent="0.25">
      <c r="A100" s="139" t="s">
        <v>2437</v>
      </c>
      <c r="B100" s="551" t="s">
        <v>551</v>
      </c>
      <c r="C100" s="552" t="s">
        <v>2652</v>
      </c>
      <c r="D100" s="553" t="s">
        <v>48</v>
      </c>
      <c r="E100" s="424" t="s">
        <v>2622</v>
      </c>
      <c r="F100" s="424" t="s">
        <v>2622</v>
      </c>
      <c r="G100" s="424" t="s">
        <v>2622</v>
      </c>
      <c r="H100" s="424" t="s">
        <v>2622</v>
      </c>
      <c r="I100" s="424" t="s">
        <v>2622</v>
      </c>
      <c r="J100" s="424" t="s">
        <v>2622</v>
      </c>
      <c r="K100" s="424" t="s">
        <v>2622</v>
      </c>
      <c r="L100" s="424" t="s">
        <v>2622</v>
      </c>
      <c r="M100" s="424" t="s">
        <v>2622</v>
      </c>
      <c r="N100" s="424" t="s">
        <v>2622</v>
      </c>
      <c r="O100" s="434"/>
      <c r="P100" s="378" t="str">
        <f t="shared" si="84"/>
        <v>NA</v>
      </c>
      <c r="Q100" s="379" t="str">
        <f t="shared" si="85"/>
        <v>NA</v>
      </c>
      <c r="R100" s="485"/>
      <c r="S100" s="485"/>
      <c r="T100" s="485"/>
      <c r="U100" s="485"/>
      <c r="V100" s="485"/>
      <c r="W100" s="485"/>
      <c r="X100" s="485"/>
      <c r="Y100" s="485"/>
      <c r="Z100" s="485"/>
      <c r="AA100" s="485"/>
      <c r="AB100" s="485"/>
      <c r="AC100" s="485"/>
      <c r="AD100" s="485"/>
      <c r="AE100" s="485"/>
    </row>
    <row r="101" spans="1:31" s="271" customFormat="1" ht="15" hidden="1" customHeight="1" x14ac:dyDescent="0.25">
      <c r="A101" s="139"/>
      <c r="B101" s="587" t="s">
        <v>990</v>
      </c>
      <c r="C101" s="610" t="s">
        <v>2653</v>
      </c>
      <c r="D101" s="611"/>
      <c r="E101" s="373"/>
      <c r="F101" s="373"/>
      <c r="G101" s="373"/>
      <c r="H101" s="416"/>
      <c r="I101" s="373"/>
      <c r="J101" s="373"/>
      <c r="K101" s="416"/>
      <c r="L101" s="373"/>
      <c r="M101" s="417"/>
      <c r="N101" s="373"/>
      <c r="O101" s="434"/>
      <c r="P101" s="376"/>
      <c r="Q101" s="377"/>
      <c r="R101" s="485"/>
      <c r="S101" s="485"/>
      <c r="T101" s="485"/>
      <c r="U101" s="485"/>
      <c r="V101" s="485"/>
      <c r="W101" s="485"/>
      <c r="X101" s="485"/>
      <c r="Y101" s="485"/>
      <c r="Z101" s="485"/>
      <c r="AA101" s="485"/>
      <c r="AB101" s="485"/>
      <c r="AC101" s="485"/>
      <c r="AD101" s="485"/>
      <c r="AE101" s="485"/>
    </row>
    <row r="102" spans="1:31" s="271" customFormat="1" ht="10.35" hidden="1" customHeight="1" x14ac:dyDescent="0.25">
      <c r="A102" s="139" t="s">
        <v>1973</v>
      </c>
      <c r="B102" s="549" t="s">
        <v>1556</v>
      </c>
      <c r="C102" s="550" t="s">
        <v>2654</v>
      </c>
      <c r="D102" s="612" t="s">
        <v>48</v>
      </c>
      <c r="E102" s="424" t="s">
        <v>2622</v>
      </c>
      <c r="F102" s="424" t="s">
        <v>2622</v>
      </c>
      <c r="G102" s="424" t="s">
        <v>2622</v>
      </c>
      <c r="H102" s="424" t="s">
        <v>2622</v>
      </c>
      <c r="I102" s="424" t="s">
        <v>2622</v>
      </c>
      <c r="J102" s="424" t="s">
        <v>2622</v>
      </c>
      <c r="K102" s="424" t="s">
        <v>2622</v>
      </c>
      <c r="L102" s="424" t="s">
        <v>2622</v>
      </c>
      <c r="M102" s="424" t="s">
        <v>2622</v>
      </c>
      <c r="N102" s="424" t="s">
        <v>2622</v>
      </c>
      <c r="O102" s="434"/>
      <c r="P102" s="376" t="str">
        <f t="shared" ref="P102:P107" si="86">IF(OR(H102="NA",E102="NA",F102="NA",G102="NA"),"NA",SUM(H102)-SUM(E102:G102))</f>
        <v>NA</v>
      </c>
      <c r="Q102" s="377" t="str">
        <f t="shared" ref="Q102:Q107" si="87">IF(OR(M102="NA",H102="NA",I102="NA",J102="NA",K102="NA",L102="NA"),"NA",SUM(M102)-SUM(H102:L102))</f>
        <v>NA</v>
      </c>
      <c r="R102" s="485"/>
      <c r="S102" s="485"/>
      <c r="T102" s="485"/>
      <c r="U102" s="485"/>
      <c r="V102" s="485"/>
      <c r="W102" s="485"/>
      <c r="X102" s="485"/>
      <c r="Y102" s="485"/>
      <c r="Z102" s="485"/>
      <c r="AA102" s="485"/>
      <c r="AB102" s="485"/>
      <c r="AC102" s="485"/>
      <c r="AD102" s="485"/>
      <c r="AE102" s="485"/>
    </row>
    <row r="103" spans="1:31" s="271" customFormat="1" ht="10.35" hidden="1" customHeight="1" x14ac:dyDescent="0.25">
      <c r="A103" s="139" t="s">
        <v>1974</v>
      </c>
      <c r="B103" s="549" t="s">
        <v>1557</v>
      </c>
      <c r="C103" s="550" t="s">
        <v>2655</v>
      </c>
      <c r="D103" s="612" t="s">
        <v>48</v>
      </c>
      <c r="E103" s="424" t="s">
        <v>2622</v>
      </c>
      <c r="F103" s="424" t="s">
        <v>2622</v>
      </c>
      <c r="G103" s="424" t="s">
        <v>2622</v>
      </c>
      <c r="H103" s="424" t="s">
        <v>2622</v>
      </c>
      <c r="I103" s="424" t="s">
        <v>2622</v>
      </c>
      <c r="J103" s="424" t="s">
        <v>2622</v>
      </c>
      <c r="K103" s="424" t="s">
        <v>2622</v>
      </c>
      <c r="L103" s="424" t="s">
        <v>2622</v>
      </c>
      <c r="M103" s="424" t="s">
        <v>2622</v>
      </c>
      <c r="N103" s="424" t="s">
        <v>2622</v>
      </c>
      <c r="O103" s="434"/>
      <c r="P103" s="376" t="str">
        <f t="shared" si="86"/>
        <v>NA</v>
      </c>
      <c r="Q103" s="377" t="str">
        <f t="shared" si="87"/>
        <v>NA</v>
      </c>
      <c r="R103" s="485"/>
      <c r="S103" s="485"/>
      <c r="T103" s="485"/>
      <c r="U103" s="485"/>
      <c r="V103" s="485"/>
      <c r="W103" s="485"/>
      <c r="X103" s="485"/>
      <c r="Y103" s="485"/>
      <c r="Z103" s="485"/>
      <c r="AA103" s="485"/>
      <c r="AB103" s="485"/>
      <c r="AC103" s="485"/>
      <c r="AD103" s="485"/>
      <c r="AE103" s="485"/>
    </row>
    <row r="104" spans="1:31" s="271" customFormat="1" ht="10.35" hidden="1" customHeight="1" x14ac:dyDescent="0.25">
      <c r="A104" s="139" t="s">
        <v>1975</v>
      </c>
      <c r="B104" s="549" t="s">
        <v>1558</v>
      </c>
      <c r="C104" s="550" t="s">
        <v>2656</v>
      </c>
      <c r="D104" s="612" t="s">
        <v>48</v>
      </c>
      <c r="E104" s="424" t="s">
        <v>2622</v>
      </c>
      <c r="F104" s="424" t="s">
        <v>2622</v>
      </c>
      <c r="G104" s="424" t="s">
        <v>2622</v>
      </c>
      <c r="H104" s="424" t="s">
        <v>2622</v>
      </c>
      <c r="I104" s="424" t="s">
        <v>2622</v>
      </c>
      <c r="J104" s="424" t="s">
        <v>2622</v>
      </c>
      <c r="K104" s="424" t="s">
        <v>2622</v>
      </c>
      <c r="L104" s="424" t="s">
        <v>2622</v>
      </c>
      <c r="M104" s="424" t="s">
        <v>2622</v>
      </c>
      <c r="N104" s="424" t="s">
        <v>2622</v>
      </c>
      <c r="O104" s="434"/>
      <c r="P104" s="376" t="str">
        <f t="shared" si="86"/>
        <v>NA</v>
      </c>
      <c r="Q104" s="377" t="str">
        <f t="shared" si="87"/>
        <v>NA</v>
      </c>
      <c r="R104" s="485"/>
      <c r="S104" s="485"/>
      <c r="T104" s="485"/>
      <c r="U104" s="485"/>
      <c r="V104" s="485"/>
      <c r="W104" s="485"/>
      <c r="X104" s="485"/>
      <c r="Y104" s="485"/>
      <c r="Z104" s="485"/>
      <c r="AA104" s="485"/>
      <c r="AB104" s="485"/>
      <c r="AC104" s="485"/>
      <c r="AD104" s="485"/>
      <c r="AE104" s="485"/>
    </row>
    <row r="105" spans="1:31" s="271" customFormat="1" ht="10.35" hidden="1" customHeight="1" x14ac:dyDescent="0.25">
      <c r="A105" s="139" t="s">
        <v>1976</v>
      </c>
      <c r="B105" s="549" t="s">
        <v>1559</v>
      </c>
      <c r="C105" s="550" t="s">
        <v>2657</v>
      </c>
      <c r="D105" s="612" t="s">
        <v>48</v>
      </c>
      <c r="E105" s="424" t="s">
        <v>2622</v>
      </c>
      <c r="F105" s="424" t="s">
        <v>2622</v>
      </c>
      <c r="G105" s="424" t="s">
        <v>2622</v>
      </c>
      <c r="H105" s="424" t="s">
        <v>2622</v>
      </c>
      <c r="I105" s="424" t="s">
        <v>2622</v>
      </c>
      <c r="J105" s="424" t="s">
        <v>2622</v>
      </c>
      <c r="K105" s="424" t="s">
        <v>2622</v>
      </c>
      <c r="L105" s="424" t="s">
        <v>2622</v>
      </c>
      <c r="M105" s="424" t="s">
        <v>2622</v>
      </c>
      <c r="N105" s="424" t="s">
        <v>2622</v>
      </c>
      <c r="O105" s="434"/>
      <c r="P105" s="376" t="str">
        <f t="shared" si="86"/>
        <v>NA</v>
      </c>
      <c r="Q105" s="377" t="str">
        <f t="shared" si="87"/>
        <v>NA</v>
      </c>
      <c r="R105" s="485"/>
      <c r="S105" s="485"/>
      <c r="T105" s="485"/>
      <c r="U105" s="485"/>
      <c r="V105" s="485"/>
      <c r="W105" s="485"/>
      <c r="X105" s="485"/>
      <c r="Y105" s="485"/>
      <c r="Z105" s="485"/>
      <c r="AA105" s="485"/>
      <c r="AB105" s="485"/>
      <c r="AC105" s="485"/>
      <c r="AD105" s="485"/>
      <c r="AE105" s="485"/>
    </row>
    <row r="106" spans="1:31" s="271" customFormat="1" ht="10.35" hidden="1" customHeight="1" x14ac:dyDescent="0.25">
      <c r="A106" s="139" t="s">
        <v>1977</v>
      </c>
      <c r="B106" s="549" t="s">
        <v>1560</v>
      </c>
      <c r="C106" s="550" t="s">
        <v>2658</v>
      </c>
      <c r="D106" s="612" t="s">
        <v>48</v>
      </c>
      <c r="E106" s="424" t="s">
        <v>2622</v>
      </c>
      <c r="F106" s="424" t="s">
        <v>2622</v>
      </c>
      <c r="G106" s="424" t="s">
        <v>2622</v>
      </c>
      <c r="H106" s="424" t="s">
        <v>2622</v>
      </c>
      <c r="I106" s="424" t="s">
        <v>2622</v>
      </c>
      <c r="J106" s="424" t="s">
        <v>2622</v>
      </c>
      <c r="K106" s="424" t="s">
        <v>2622</v>
      </c>
      <c r="L106" s="424" t="s">
        <v>2622</v>
      </c>
      <c r="M106" s="424" t="s">
        <v>2622</v>
      </c>
      <c r="N106" s="424" t="s">
        <v>2622</v>
      </c>
      <c r="O106" s="434"/>
      <c r="P106" s="376" t="str">
        <f t="shared" si="86"/>
        <v>NA</v>
      </c>
      <c r="Q106" s="377" t="str">
        <f t="shared" si="87"/>
        <v>NA</v>
      </c>
      <c r="R106" s="485"/>
      <c r="S106" s="485"/>
      <c r="T106" s="485"/>
      <c r="U106" s="485"/>
      <c r="V106" s="485"/>
      <c r="W106" s="485"/>
      <c r="X106" s="485"/>
      <c r="Y106" s="485"/>
      <c r="Z106" s="485"/>
      <c r="AA106" s="485"/>
      <c r="AB106" s="485"/>
      <c r="AC106" s="485"/>
      <c r="AD106" s="485"/>
      <c r="AE106" s="485"/>
    </row>
    <row r="107" spans="1:31" s="271" customFormat="1" ht="10.35" hidden="1" customHeight="1" x14ac:dyDescent="0.25">
      <c r="A107" s="139" t="s">
        <v>1978</v>
      </c>
      <c r="B107" s="549" t="s">
        <v>1561</v>
      </c>
      <c r="C107" s="550" t="s">
        <v>2659</v>
      </c>
      <c r="D107" s="612" t="s">
        <v>48</v>
      </c>
      <c r="E107" s="424" t="s">
        <v>2622</v>
      </c>
      <c r="F107" s="424" t="s">
        <v>2622</v>
      </c>
      <c r="G107" s="424" t="s">
        <v>2622</v>
      </c>
      <c r="H107" s="424" t="s">
        <v>2622</v>
      </c>
      <c r="I107" s="424" t="s">
        <v>2622</v>
      </c>
      <c r="J107" s="424" t="s">
        <v>2622</v>
      </c>
      <c r="K107" s="424" t="s">
        <v>2622</v>
      </c>
      <c r="L107" s="424" t="s">
        <v>2622</v>
      </c>
      <c r="M107" s="424" t="s">
        <v>2622</v>
      </c>
      <c r="N107" s="424" t="s">
        <v>2622</v>
      </c>
      <c r="O107" s="434"/>
      <c r="P107" s="376" t="str">
        <f t="shared" si="86"/>
        <v>NA</v>
      </c>
      <c r="Q107" s="377" t="str">
        <f t="shared" si="87"/>
        <v>NA</v>
      </c>
      <c r="R107" s="485"/>
      <c r="S107" s="485"/>
      <c r="T107" s="485"/>
      <c r="U107" s="485"/>
      <c r="V107" s="485"/>
      <c r="W107" s="485"/>
      <c r="X107" s="485"/>
      <c r="Y107" s="485"/>
      <c r="Z107" s="485"/>
      <c r="AA107" s="485"/>
      <c r="AB107" s="485"/>
      <c r="AC107" s="485"/>
      <c r="AD107" s="485"/>
      <c r="AE107" s="485"/>
    </row>
    <row r="108" spans="1:31" s="271" customFormat="1" ht="15" hidden="1" customHeight="1" x14ac:dyDescent="0.25">
      <c r="A108" s="139"/>
      <c r="B108" s="587" t="s">
        <v>990</v>
      </c>
      <c r="C108" s="610" t="s">
        <v>2660</v>
      </c>
      <c r="D108" s="611"/>
      <c r="E108" s="373"/>
      <c r="F108" s="373"/>
      <c r="G108" s="373"/>
      <c r="H108" s="416"/>
      <c r="I108" s="373"/>
      <c r="J108" s="373"/>
      <c r="K108" s="416"/>
      <c r="L108" s="373"/>
      <c r="M108" s="417"/>
      <c r="N108" s="373"/>
      <c r="O108" s="434"/>
      <c r="P108" s="376"/>
      <c r="Q108" s="377"/>
      <c r="R108" s="485"/>
      <c r="S108" s="485"/>
      <c r="T108" s="485"/>
      <c r="U108" s="485"/>
      <c r="V108" s="485"/>
      <c r="W108" s="485"/>
      <c r="X108" s="485"/>
      <c r="Y108" s="485"/>
      <c r="Z108" s="485"/>
      <c r="AA108" s="485"/>
      <c r="AB108" s="485"/>
      <c r="AC108" s="485"/>
      <c r="AD108" s="485"/>
      <c r="AE108" s="485"/>
    </row>
    <row r="109" spans="1:31" s="271" customFormat="1" ht="10.35" hidden="1" customHeight="1" x14ac:dyDescent="0.25">
      <c r="A109" s="139" t="s">
        <v>1979</v>
      </c>
      <c r="B109" s="549" t="s">
        <v>1460</v>
      </c>
      <c r="C109" s="550" t="s">
        <v>2654</v>
      </c>
      <c r="D109" s="612" t="s">
        <v>48</v>
      </c>
      <c r="E109" s="424" t="s">
        <v>2622</v>
      </c>
      <c r="F109" s="424" t="s">
        <v>2622</v>
      </c>
      <c r="G109" s="424" t="s">
        <v>2622</v>
      </c>
      <c r="H109" s="424" t="s">
        <v>2622</v>
      </c>
      <c r="I109" s="424" t="s">
        <v>2622</v>
      </c>
      <c r="J109" s="424" t="s">
        <v>2622</v>
      </c>
      <c r="K109" s="424" t="s">
        <v>2622</v>
      </c>
      <c r="L109" s="424" t="s">
        <v>2622</v>
      </c>
      <c r="M109" s="424" t="s">
        <v>2622</v>
      </c>
      <c r="N109" s="424" t="s">
        <v>2622</v>
      </c>
      <c r="O109" s="434"/>
      <c r="P109" s="376" t="str">
        <f t="shared" ref="P109:P114" si="88">IF(OR(H109="NA",E109="NA",F109="NA",G109="NA"),"NA",SUM(H109)-SUM(E109:G109))</f>
        <v>NA</v>
      </c>
      <c r="Q109" s="377" t="str">
        <f t="shared" ref="Q109:Q114" si="89">IF(OR(M109="NA",H109="NA",I109="NA",J109="NA",K109="NA",L109="NA"),"NA",SUM(M109)-SUM(H109:L109))</f>
        <v>NA</v>
      </c>
      <c r="R109" s="485"/>
      <c r="S109" s="485"/>
      <c r="T109" s="485"/>
      <c r="U109" s="485"/>
      <c r="V109" s="485"/>
      <c r="W109" s="485"/>
      <c r="X109" s="485"/>
      <c r="Y109" s="485"/>
      <c r="Z109" s="485"/>
      <c r="AA109" s="485"/>
      <c r="AB109" s="485"/>
      <c r="AC109" s="485"/>
      <c r="AD109" s="485"/>
      <c r="AE109" s="485"/>
    </row>
    <row r="110" spans="1:31" s="271" customFormat="1" ht="10.35" hidden="1" customHeight="1" x14ac:dyDescent="0.25">
      <c r="A110" s="139" t="s">
        <v>1980</v>
      </c>
      <c r="B110" s="549" t="s">
        <v>1476</v>
      </c>
      <c r="C110" s="550" t="s">
        <v>2655</v>
      </c>
      <c r="D110" s="612" t="s">
        <v>48</v>
      </c>
      <c r="E110" s="424" t="s">
        <v>2622</v>
      </c>
      <c r="F110" s="424" t="s">
        <v>2622</v>
      </c>
      <c r="G110" s="424" t="s">
        <v>2622</v>
      </c>
      <c r="H110" s="424" t="s">
        <v>2622</v>
      </c>
      <c r="I110" s="424" t="s">
        <v>2622</v>
      </c>
      <c r="J110" s="424" t="s">
        <v>2622</v>
      </c>
      <c r="K110" s="424" t="s">
        <v>2622</v>
      </c>
      <c r="L110" s="424" t="s">
        <v>2622</v>
      </c>
      <c r="M110" s="424" t="s">
        <v>2622</v>
      </c>
      <c r="N110" s="424" t="s">
        <v>2622</v>
      </c>
      <c r="O110" s="434"/>
      <c r="P110" s="376" t="str">
        <f t="shared" si="88"/>
        <v>NA</v>
      </c>
      <c r="Q110" s="377" t="str">
        <f t="shared" si="89"/>
        <v>NA</v>
      </c>
      <c r="R110" s="485"/>
      <c r="S110" s="485"/>
      <c r="T110" s="485"/>
      <c r="U110" s="485"/>
      <c r="V110" s="485"/>
      <c r="W110" s="485"/>
      <c r="X110" s="485"/>
      <c r="Y110" s="485"/>
      <c r="Z110" s="485"/>
      <c r="AA110" s="485"/>
      <c r="AB110" s="485"/>
      <c r="AC110" s="485"/>
      <c r="AD110" s="485"/>
      <c r="AE110" s="485"/>
    </row>
    <row r="111" spans="1:31" s="271" customFormat="1" ht="10.35" hidden="1" customHeight="1" x14ac:dyDescent="0.25">
      <c r="A111" s="139" t="s">
        <v>1981</v>
      </c>
      <c r="B111" s="549" t="s">
        <v>1492</v>
      </c>
      <c r="C111" s="550" t="s">
        <v>2656</v>
      </c>
      <c r="D111" s="612" t="s">
        <v>48</v>
      </c>
      <c r="E111" s="424" t="s">
        <v>2622</v>
      </c>
      <c r="F111" s="424" t="s">
        <v>2622</v>
      </c>
      <c r="G111" s="424" t="s">
        <v>2622</v>
      </c>
      <c r="H111" s="424" t="s">
        <v>2622</v>
      </c>
      <c r="I111" s="424" t="s">
        <v>2622</v>
      </c>
      <c r="J111" s="424" t="s">
        <v>2622</v>
      </c>
      <c r="K111" s="424" t="s">
        <v>2622</v>
      </c>
      <c r="L111" s="424" t="s">
        <v>2622</v>
      </c>
      <c r="M111" s="424" t="s">
        <v>2622</v>
      </c>
      <c r="N111" s="424" t="s">
        <v>2622</v>
      </c>
      <c r="O111" s="434"/>
      <c r="P111" s="376" t="str">
        <f t="shared" si="88"/>
        <v>NA</v>
      </c>
      <c r="Q111" s="377" t="str">
        <f t="shared" si="89"/>
        <v>NA</v>
      </c>
      <c r="R111" s="485"/>
      <c r="S111" s="485"/>
      <c r="T111" s="485"/>
      <c r="U111" s="485"/>
      <c r="V111" s="485"/>
      <c r="W111" s="485"/>
      <c r="X111" s="485"/>
      <c r="Y111" s="485"/>
      <c r="Z111" s="485"/>
      <c r="AA111" s="485"/>
      <c r="AB111" s="485"/>
      <c r="AC111" s="485"/>
      <c r="AD111" s="485"/>
      <c r="AE111" s="485"/>
    </row>
    <row r="112" spans="1:31" s="271" customFormat="1" ht="10.35" hidden="1" customHeight="1" x14ac:dyDescent="0.25">
      <c r="A112" s="139" t="s">
        <v>1982</v>
      </c>
      <c r="B112" s="549" t="s">
        <v>1508</v>
      </c>
      <c r="C112" s="550" t="s">
        <v>2657</v>
      </c>
      <c r="D112" s="612" t="s">
        <v>48</v>
      </c>
      <c r="E112" s="424" t="s">
        <v>2622</v>
      </c>
      <c r="F112" s="424" t="s">
        <v>2622</v>
      </c>
      <c r="G112" s="424" t="s">
        <v>2622</v>
      </c>
      <c r="H112" s="424" t="s">
        <v>2622</v>
      </c>
      <c r="I112" s="424" t="s">
        <v>2622</v>
      </c>
      <c r="J112" s="424" t="s">
        <v>2622</v>
      </c>
      <c r="K112" s="424" t="s">
        <v>2622</v>
      </c>
      <c r="L112" s="424" t="s">
        <v>2622</v>
      </c>
      <c r="M112" s="424" t="s">
        <v>2622</v>
      </c>
      <c r="N112" s="424" t="s">
        <v>2622</v>
      </c>
      <c r="O112" s="434"/>
      <c r="P112" s="376" t="str">
        <f t="shared" si="88"/>
        <v>NA</v>
      </c>
      <c r="Q112" s="377" t="str">
        <f t="shared" si="89"/>
        <v>NA</v>
      </c>
      <c r="R112" s="485"/>
      <c r="S112" s="485"/>
      <c r="T112" s="485"/>
      <c r="U112" s="485"/>
      <c r="V112" s="485"/>
      <c r="W112" s="485"/>
      <c r="X112" s="485"/>
      <c r="Y112" s="485"/>
      <c r="Z112" s="485"/>
      <c r="AA112" s="485"/>
      <c r="AB112" s="485"/>
      <c r="AC112" s="485"/>
      <c r="AD112" s="485"/>
      <c r="AE112" s="485"/>
    </row>
    <row r="113" spans="1:31" s="271" customFormat="1" ht="10.35" hidden="1" customHeight="1" x14ac:dyDescent="0.25">
      <c r="A113" s="139" t="s">
        <v>1983</v>
      </c>
      <c r="B113" s="549" t="s">
        <v>1524</v>
      </c>
      <c r="C113" s="550" t="s">
        <v>2658</v>
      </c>
      <c r="D113" s="612" t="s">
        <v>48</v>
      </c>
      <c r="E113" s="424" t="s">
        <v>2622</v>
      </c>
      <c r="F113" s="424" t="s">
        <v>2622</v>
      </c>
      <c r="G113" s="424" t="s">
        <v>2622</v>
      </c>
      <c r="H113" s="424" t="s">
        <v>2622</v>
      </c>
      <c r="I113" s="424" t="s">
        <v>2622</v>
      </c>
      <c r="J113" s="424" t="s">
        <v>2622</v>
      </c>
      <c r="K113" s="424" t="s">
        <v>2622</v>
      </c>
      <c r="L113" s="424" t="s">
        <v>2622</v>
      </c>
      <c r="M113" s="424" t="s">
        <v>2622</v>
      </c>
      <c r="N113" s="424" t="s">
        <v>2622</v>
      </c>
      <c r="O113" s="434"/>
      <c r="P113" s="376" t="str">
        <f t="shared" si="88"/>
        <v>NA</v>
      </c>
      <c r="Q113" s="377" t="str">
        <f t="shared" si="89"/>
        <v>NA</v>
      </c>
      <c r="R113" s="485"/>
      <c r="S113" s="485"/>
      <c r="T113" s="485"/>
      <c r="U113" s="485"/>
      <c r="V113" s="485"/>
      <c r="W113" s="485"/>
      <c r="X113" s="485"/>
      <c r="Y113" s="485"/>
      <c r="Z113" s="485"/>
      <c r="AA113" s="485"/>
      <c r="AB113" s="485"/>
      <c r="AC113" s="485"/>
      <c r="AD113" s="485"/>
      <c r="AE113" s="485"/>
    </row>
    <row r="114" spans="1:31" s="271" customFormat="1" ht="10.35" hidden="1" customHeight="1" x14ac:dyDescent="0.25">
      <c r="A114" s="139" t="s">
        <v>1984</v>
      </c>
      <c r="B114" s="536" t="s">
        <v>1540</v>
      </c>
      <c r="C114" s="563" t="s">
        <v>2659</v>
      </c>
      <c r="D114" s="588" t="s">
        <v>48</v>
      </c>
      <c r="E114" s="424" t="s">
        <v>2622</v>
      </c>
      <c r="F114" s="424" t="s">
        <v>2622</v>
      </c>
      <c r="G114" s="424" t="s">
        <v>2622</v>
      </c>
      <c r="H114" s="424" t="s">
        <v>2622</v>
      </c>
      <c r="I114" s="424" t="s">
        <v>2622</v>
      </c>
      <c r="J114" s="424" t="s">
        <v>2622</v>
      </c>
      <c r="K114" s="424" t="s">
        <v>2622</v>
      </c>
      <c r="L114" s="424" t="s">
        <v>2622</v>
      </c>
      <c r="M114" s="424" t="s">
        <v>2622</v>
      </c>
      <c r="N114" s="424" t="s">
        <v>2622</v>
      </c>
      <c r="O114" s="434"/>
      <c r="P114" s="380" t="str">
        <f t="shared" si="88"/>
        <v>NA</v>
      </c>
      <c r="Q114" s="381" t="str">
        <f t="shared" si="89"/>
        <v>NA</v>
      </c>
      <c r="R114" s="485"/>
      <c r="S114" s="485"/>
      <c r="T114" s="485"/>
      <c r="U114" s="485"/>
      <c r="V114" s="485"/>
      <c r="W114" s="485"/>
      <c r="X114" s="485"/>
      <c r="Y114" s="485"/>
      <c r="Z114" s="485"/>
      <c r="AA114" s="485"/>
      <c r="AB114" s="485"/>
      <c r="AC114" s="485"/>
      <c r="AD114" s="485"/>
      <c r="AE114" s="485"/>
    </row>
    <row r="115" spans="1:31" ht="10.5" customHeight="1" x14ac:dyDescent="0.2">
      <c r="B115" s="613"/>
      <c r="C115" s="614"/>
      <c r="D115" s="614"/>
      <c r="E115" s="616"/>
      <c r="F115" s="616"/>
      <c r="G115" s="616"/>
      <c r="H115" s="616"/>
      <c r="I115" s="616"/>
      <c r="J115" s="616"/>
      <c r="K115" s="616"/>
      <c r="L115" s="616"/>
      <c r="M115" s="616"/>
      <c r="N115" s="616"/>
      <c r="O115" s="616"/>
      <c r="P115" s="258"/>
      <c r="Q115" s="258"/>
    </row>
    <row r="116" spans="1:31" s="193" customFormat="1" ht="15" customHeight="1" x14ac:dyDescent="0.2">
      <c r="B116" s="717" t="s">
        <v>2958</v>
      </c>
      <c r="C116" s="195"/>
      <c r="D116" s="195"/>
      <c r="E116" s="239"/>
      <c r="F116" s="239"/>
      <c r="G116" s="239"/>
      <c r="H116" s="239"/>
      <c r="I116" s="239"/>
      <c r="J116" s="239"/>
      <c r="K116" s="239"/>
      <c r="L116" s="239"/>
      <c r="M116" s="239"/>
      <c r="N116" s="240"/>
      <c r="O116" s="259"/>
      <c r="P116" s="259"/>
      <c r="Q116" s="259"/>
      <c r="R116" s="486"/>
      <c r="S116" s="486"/>
      <c r="T116" s="486"/>
      <c r="U116" s="486"/>
      <c r="V116" s="486"/>
      <c r="W116" s="486"/>
      <c r="X116" s="486"/>
      <c r="Y116" s="486"/>
      <c r="Z116" s="486"/>
      <c r="AA116" s="486"/>
      <c r="AB116" s="486"/>
      <c r="AC116" s="486"/>
      <c r="AD116" s="486"/>
      <c r="AE116" s="486"/>
    </row>
    <row r="117" spans="1:31" s="103" customFormat="1" ht="10.9" customHeight="1" x14ac:dyDescent="0.15">
      <c r="B117" s="200" t="s">
        <v>3523</v>
      </c>
      <c r="E117" s="201"/>
      <c r="F117" s="201"/>
      <c r="G117" s="201"/>
      <c r="H117" s="201"/>
      <c r="I117" s="201"/>
      <c r="J117" s="201"/>
      <c r="K117" s="201"/>
      <c r="L117" s="201"/>
      <c r="M117" s="201"/>
      <c r="N117" s="201"/>
      <c r="O117" s="260"/>
      <c r="P117" s="260"/>
      <c r="Q117" s="191"/>
      <c r="R117" s="487"/>
      <c r="S117" s="487"/>
      <c r="T117" s="487"/>
      <c r="U117" s="487"/>
      <c r="V117" s="487"/>
      <c r="W117" s="487"/>
      <c r="X117" s="487"/>
      <c r="Y117" s="487"/>
      <c r="Z117" s="487"/>
      <c r="AA117" s="487"/>
      <c r="AB117" s="487"/>
      <c r="AC117" s="487"/>
      <c r="AD117" s="487"/>
      <c r="AE117" s="487"/>
    </row>
    <row r="118" spans="1:31" s="103" customFormat="1" ht="10.9" customHeight="1" x14ac:dyDescent="0.15">
      <c r="B118" s="190"/>
      <c r="C118" s="103" t="s">
        <v>712</v>
      </c>
      <c r="E118" s="203">
        <f t="shared" ref="E118:N118" si="90">IF(OR(E8="NA",E9="NA",E42="NA",E52="NA",E62="NA"),"NA",-SUM(E8)+SUM(E9)+SUM(E42)+SUM(E52)+SUM(E62))</f>
        <v>0</v>
      </c>
      <c r="F118" s="203">
        <f t="shared" si="90"/>
        <v>-2.2737367544323206E-13</v>
      </c>
      <c r="G118" s="203">
        <f t="shared" si="90"/>
        <v>1.1368683772161603E-13</v>
      </c>
      <c r="H118" s="203">
        <f t="shared" si="90"/>
        <v>0</v>
      </c>
      <c r="I118" s="203">
        <f t="shared" si="90"/>
        <v>4.5474735088646412E-13</v>
      </c>
      <c r="J118" s="203">
        <f t="shared" si="90"/>
        <v>4.5474735088646412E-12</v>
      </c>
      <c r="K118" s="203">
        <f t="shared" si="90"/>
        <v>5.4569682106375694E-12</v>
      </c>
      <c r="L118" s="203">
        <f t="shared" si="90"/>
        <v>0</v>
      </c>
      <c r="M118" s="203">
        <f t="shared" si="90"/>
        <v>1.4551915228366852E-11</v>
      </c>
      <c r="N118" s="203">
        <f t="shared" si="90"/>
        <v>0</v>
      </c>
      <c r="O118" s="260"/>
      <c r="P118" s="260"/>
      <c r="Q118" s="191"/>
      <c r="R118" s="487"/>
      <c r="S118" s="487"/>
      <c r="T118" s="487"/>
      <c r="U118" s="487"/>
      <c r="V118" s="487"/>
      <c r="W118" s="487"/>
      <c r="X118" s="487"/>
      <c r="Y118" s="487"/>
      <c r="Z118" s="487"/>
      <c r="AA118" s="487"/>
      <c r="AB118" s="487"/>
      <c r="AC118" s="487"/>
      <c r="AD118" s="487"/>
      <c r="AE118" s="487"/>
    </row>
    <row r="119" spans="1:31" s="103" customFormat="1" ht="10.9" customHeight="1" x14ac:dyDescent="0.15">
      <c r="A119" s="386"/>
      <c r="B119" s="200" t="s">
        <v>3552</v>
      </c>
      <c r="E119" s="203"/>
      <c r="F119" s="203"/>
      <c r="G119" s="203"/>
      <c r="H119" s="203"/>
      <c r="I119" s="203"/>
      <c r="J119" s="203"/>
      <c r="K119" s="203"/>
      <c r="L119" s="203"/>
      <c r="M119" s="203"/>
      <c r="N119" s="203"/>
      <c r="O119" s="260"/>
      <c r="P119" s="260"/>
      <c r="Q119" s="191"/>
      <c r="R119" s="487"/>
      <c r="S119" s="487"/>
      <c r="T119" s="487"/>
      <c r="U119" s="487"/>
      <c r="V119" s="487"/>
      <c r="W119" s="487"/>
      <c r="X119" s="487"/>
      <c r="Y119" s="487"/>
      <c r="Z119" s="487"/>
      <c r="AA119" s="487"/>
      <c r="AB119" s="487"/>
      <c r="AC119" s="487"/>
      <c r="AD119" s="487"/>
      <c r="AE119" s="487"/>
    </row>
    <row r="120" spans="1:31" s="103" customFormat="1" ht="10.9" customHeight="1" x14ac:dyDescent="0.15">
      <c r="B120" s="190"/>
      <c r="C120" s="103" t="s">
        <v>725</v>
      </c>
      <c r="E120" s="203">
        <f t="shared" ref="E120:N120" si="91">IF(OR(E9="NA",E10="NA",E14="NA",E15="NA",E21="NA",E34="NA",E41="NA"),"NA",-SUM(E9)+SUM(E10)+SUM(E14)+SUM(E15)+SUM(E21)+SUM(E34)+SUM(E41))</f>
        <v>-2.0378365661599673E-11</v>
      </c>
      <c r="F120" s="203">
        <f t="shared" si="91"/>
        <v>-4.2632564145606011E-14</v>
      </c>
      <c r="G120" s="203">
        <f t="shared" si="91"/>
        <v>-1.4641066137244252E-15</v>
      </c>
      <c r="H120" s="203">
        <f t="shared" si="91"/>
        <v>-8.8675733422860503E-12</v>
      </c>
      <c r="I120" s="203">
        <f t="shared" si="91"/>
        <v>0</v>
      </c>
      <c r="J120" s="203">
        <f t="shared" si="91"/>
        <v>0</v>
      </c>
      <c r="K120" s="203">
        <f t="shared" si="91"/>
        <v>2.0463630789890885E-12</v>
      </c>
      <c r="L120" s="203">
        <f t="shared" si="91"/>
        <v>-3.5527136788005009E-14</v>
      </c>
      <c r="M120" s="203">
        <f t="shared" si="91"/>
        <v>8.6401996668428183E-12</v>
      </c>
      <c r="N120" s="203">
        <f t="shared" si="91"/>
        <v>-8.8675733422860503E-12</v>
      </c>
      <c r="O120" s="260"/>
      <c r="P120" s="260"/>
      <c r="Q120" s="191"/>
      <c r="R120" s="487"/>
      <c r="S120" s="487"/>
      <c r="T120" s="487"/>
      <c r="U120" s="487"/>
      <c r="V120" s="487"/>
      <c r="W120" s="487"/>
      <c r="X120" s="487"/>
      <c r="Y120" s="487"/>
      <c r="Z120" s="487"/>
      <c r="AA120" s="487"/>
      <c r="AB120" s="487"/>
      <c r="AC120" s="487"/>
      <c r="AD120" s="487"/>
      <c r="AE120" s="487"/>
    </row>
    <row r="121" spans="1:31" s="103" customFormat="1" ht="10.9" customHeight="1" x14ac:dyDescent="0.15">
      <c r="B121" s="190"/>
      <c r="C121" s="103" t="s">
        <v>726</v>
      </c>
      <c r="E121" s="203">
        <f t="shared" ref="E121:N121" si="92">IF(OR(E42="NA",E43="NA",E48="NA",),"NA",-SUM(E42)+SUM(E43)+SUM(E48))</f>
        <v>-5.6843418860808015E-13</v>
      </c>
      <c r="F121" s="203">
        <f t="shared" si="92"/>
        <v>0</v>
      </c>
      <c r="G121" s="203">
        <f t="shared" si="92"/>
        <v>0</v>
      </c>
      <c r="H121" s="203">
        <f t="shared" si="92"/>
        <v>4.5474735088646412E-13</v>
      </c>
      <c r="I121" s="203">
        <f t="shared" si="92"/>
        <v>0</v>
      </c>
      <c r="J121" s="203">
        <f t="shared" si="92"/>
        <v>0</v>
      </c>
      <c r="K121" s="203">
        <f t="shared" si="92"/>
        <v>0</v>
      </c>
      <c r="L121" s="203">
        <f t="shared" si="92"/>
        <v>0</v>
      </c>
      <c r="M121" s="203">
        <f t="shared" si="92"/>
        <v>5.6843418860808015E-13</v>
      </c>
      <c r="N121" s="203">
        <f t="shared" si="92"/>
        <v>4.5474735088646412E-13</v>
      </c>
      <c r="O121" s="260"/>
      <c r="P121" s="260"/>
      <c r="Q121" s="191"/>
      <c r="R121" s="487"/>
      <c r="S121" s="487"/>
      <c r="T121" s="487"/>
      <c r="U121" s="487"/>
      <c r="V121" s="487"/>
      <c r="W121" s="487"/>
      <c r="X121" s="487"/>
      <c r="Y121" s="487"/>
      <c r="Z121" s="487"/>
      <c r="AA121" s="487"/>
      <c r="AB121" s="487"/>
      <c r="AC121" s="487"/>
      <c r="AD121" s="487"/>
      <c r="AE121" s="487"/>
    </row>
    <row r="122" spans="1:31" s="103" customFormat="1" ht="10.9" customHeight="1" x14ac:dyDescent="0.15">
      <c r="B122" s="190"/>
      <c r="C122" s="103" t="s">
        <v>727</v>
      </c>
      <c r="E122" s="203">
        <f t="shared" ref="E122:N122" si="93">IF(OR(E52="NA",E53="NA",E56="NA",E59="NA"),"NA",-SUM(E52)+SUM(E53)+SUM(E56)+SUM(E59))</f>
        <v>0</v>
      </c>
      <c r="F122" s="203">
        <f t="shared" si="93"/>
        <v>0</v>
      </c>
      <c r="G122" s="203">
        <f t="shared" si="93"/>
        <v>0</v>
      </c>
      <c r="H122" s="203">
        <f t="shared" si="93"/>
        <v>0</v>
      </c>
      <c r="I122" s="203">
        <f t="shared" si="93"/>
        <v>0</v>
      </c>
      <c r="J122" s="203">
        <f t="shared" si="93"/>
        <v>0</v>
      </c>
      <c r="K122" s="203">
        <f t="shared" si="93"/>
        <v>0</v>
      </c>
      <c r="L122" s="203">
        <f t="shared" si="93"/>
        <v>0</v>
      </c>
      <c r="M122" s="203">
        <f t="shared" si="93"/>
        <v>0</v>
      </c>
      <c r="N122" s="203">
        <f t="shared" si="93"/>
        <v>0</v>
      </c>
      <c r="O122" s="260"/>
      <c r="P122" s="260"/>
      <c r="Q122" s="191"/>
      <c r="R122" s="487"/>
      <c r="S122" s="487"/>
      <c r="T122" s="487"/>
      <c r="U122" s="487"/>
      <c r="V122" s="487"/>
      <c r="W122" s="487"/>
      <c r="X122" s="487"/>
      <c r="Y122" s="487"/>
      <c r="Z122" s="487"/>
      <c r="AA122" s="487"/>
      <c r="AB122" s="487"/>
      <c r="AC122" s="487"/>
      <c r="AD122" s="487"/>
      <c r="AE122" s="487"/>
    </row>
    <row r="123" spans="1:31" s="103" customFormat="1" ht="10.9" customHeight="1" x14ac:dyDescent="0.15">
      <c r="B123" s="190"/>
      <c r="C123" s="103" t="s">
        <v>728</v>
      </c>
      <c r="E123" s="203">
        <f t="shared" ref="E123:N123" si="94">IF(OR(E62="NA",E63="NA",E73="NA",E78="NA",E79="NA",E84="NA"),"NA",-SUM(E62)+SUM(E63)+SUM(E73)+SUM(E78)+SUM(E79)+SUM(E84))</f>
        <v>-3.4390268410788849E-12</v>
      </c>
      <c r="F123" s="203">
        <f t="shared" si="94"/>
        <v>1.1368683772161603E-13</v>
      </c>
      <c r="G123" s="203">
        <f t="shared" si="94"/>
        <v>-1.7763568394002505E-14</v>
      </c>
      <c r="H123" s="203">
        <f t="shared" si="94"/>
        <v>3.694822225952521E-12</v>
      </c>
      <c r="I123" s="203">
        <f t="shared" si="94"/>
        <v>3.836930773104541E-13</v>
      </c>
      <c r="J123" s="203">
        <f t="shared" si="94"/>
        <v>-9.8765440270653926E-13</v>
      </c>
      <c r="K123" s="203">
        <f t="shared" si="94"/>
        <v>4.5474735088646412E-13</v>
      </c>
      <c r="L123" s="203">
        <f t="shared" si="94"/>
        <v>0</v>
      </c>
      <c r="M123" s="203">
        <f t="shared" si="94"/>
        <v>1.3358203432289883E-12</v>
      </c>
      <c r="N123" s="203">
        <f t="shared" si="94"/>
        <v>5.6843418860808015E-14</v>
      </c>
      <c r="O123" s="260"/>
      <c r="P123" s="260"/>
      <c r="Q123" s="191"/>
      <c r="R123" s="487"/>
      <c r="S123" s="487"/>
      <c r="T123" s="487"/>
      <c r="U123" s="487"/>
      <c r="V123" s="487"/>
      <c r="W123" s="487"/>
      <c r="X123" s="487"/>
      <c r="Y123" s="487"/>
      <c r="Z123" s="487"/>
      <c r="AA123" s="487"/>
      <c r="AB123" s="487"/>
      <c r="AC123" s="487"/>
      <c r="AD123" s="487"/>
      <c r="AE123" s="487"/>
    </row>
    <row r="124" spans="1:31" s="103" customFormat="1" ht="10.9" customHeight="1" x14ac:dyDescent="0.15">
      <c r="B124" s="190"/>
      <c r="C124" s="103" t="s">
        <v>729</v>
      </c>
      <c r="E124" s="203">
        <f t="shared" ref="E124:N124" si="95">IF(OR(E10="NA",E11="NA",E12="NA",E13="NA"),"NA",-SUM(E10)+SUM(E11)+SUM(E12)+SUM(E13))</f>
        <v>0</v>
      </c>
      <c r="F124" s="203">
        <f t="shared" si="95"/>
        <v>0</v>
      </c>
      <c r="G124" s="203">
        <f t="shared" si="95"/>
        <v>0</v>
      </c>
      <c r="H124" s="203">
        <f t="shared" si="95"/>
        <v>0</v>
      </c>
      <c r="I124" s="203">
        <f t="shared" si="95"/>
        <v>0</v>
      </c>
      <c r="J124" s="203">
        <f t="shared" si="95"/>
        <v>0</v>
      </c>
      <c r="K124" s="203">
        <f t="shared" si="95"/>
        <v>0</v>
      </c>
      <c r="L124" s="203">
        <f t="shared" si="95"/>
        <v>0</v>
      </c>
      <c r="M124" s="203">
        <f t="shared" si="95"/>
        <v>0</v>
      </c>
      <c r="N124" s="203">
        <f t="shared" si="95"/>
        <v>0</v>
      </c>
      <c r="O124" s="260"/>
      <c r="P124" s="260"/>
      <c r="Q124" s="191"/>
      <c r="R124" s="487"/>
      <c r="S124" s="487"/>
      <c r="T124" s="487"/>
      <c r="U124" s="487"/>
      <c r="V124" s="487"/>
      <c r="W124" s="487"/>
      <c r="X124" s="487"/>
      <c r="Y124" s="487"/>
      <c r="Z124" s="487"/>
      <c r="AA124" s="487"/>
      <c r="AB124" s="487"/>
      <c r="AC124" s="487"/>
      <c r="AD124" s="487"/>
      <c r="AE124" s="487"/>
    </row>
    <row r="125" spans="1:31" s="103" customFormat="1" ht="10.9" customHeight="1" x14ac:dyDescent="0.15">
      <c r="B125" s="190"/>
      <c r="C125" s="103" t="s">
        <v>740</v>
      </c>
      <c r="E125" s="203">
        <f t="shared" ref="E125:N125" si="96">IF(OR(E15="NA",E16="NA",E17="NA",E18="NA",E19="NA",E20="NA"),"NA",-SUM(E15)+SUM(E16)+SUM(E17)+SUM(E18)+SUM(E19)+SUM(E20))</f>
        <v>-4.5474735088646412E-13</v>
      </c>
      <c r="F125" s="203">
        <f t="shared" si="96"/>
        <v>0</v>
      </c>
      <c r="G125" s="203">
        <f t="shared" si="96"/>
        <v>0</v>
      </c>
      <c r="H125" s="203">
        <f t="shared" si="96"/>
        <v>-4.5474735088646412E-13</v>
      </c>
      <c r="I125" s="203">
        <f t="shared" si="96"/>
        <v>0</v>
      </c>
      <c r="J125" s="203">
        <f t="shared" si="96"/>
        <v>0</v>
      </c>
      <c r="K125" s="203">
        <f t="shared" si="96"/>
        <v>0</v>
      </c>
      <c r="L125" s="203">
        <f t="shared" si="96"/>
        <v>0</v>
      </c>
      <c r="M125" s="203">
        <f t="shared" si="96"/>
        <v>1.3642420526593924E-12</v>
      </c>
      <c r="N125" s="203">
        <f t="shared" si="96"/>
        <v>-4.5474735088646412E-13</v>
      </c>
      <c r="O125" s="260"/>
      <c r="P125" s="260"/>
      <c r="Q125" s="191"/>
      <c r="R125" s="487"/>
      <c r="S125" s="487"/>
      <c r="T125" s="487"/>
      <c r="U125" s="487"/>
      <c r="V125" s="487"/>
      <c r="W125" s="487"/>
      <c r="X125" s="487"/>
      <c r="Y125" s="487"/>
      <c r="Z125" s="487"/>
      <c r="AA125" s="487"/>
      <c r="AB125" s="487"/>
      <c r="AC125" s="487"/>
      <c r="AD125" s="487"/>
      <c r="AE125" s="487"/>
    </row>
    <row r="126" spans="1:31" s="103" customFormat="1" ht="10.9" customHeight="1" x14ac:dyDescent="0.15">
      <c r="B126" s="190"/>
      <c r="C126" s="103" t="s">
        <v>730</v>
      </c>
      <c r="E126" s="203">
        <f t="shared" ref="E126:N126" si="97">IF(OR(E21="NA",E22="NA",E27="NA",E28="NA",E29="NA",E30="NA",E33="NA"),"NA",-SUM(E21)+SUM(E22)+SUM(E27)+SUM(E28)+SUM(E29)+SUM(E30)+SUM(E33))</f>
        <v>-3.7623237858497305E-12</v>
      </c>
      <c r="F126" s="203">
        <f t="shared" si="97"/>
        <v>0</v>
      </c>
      <c r="G126" s="203">
        <f t="shared" si="97"/>
        <v>0</v>
      </c>
      <c r="H126" s="203">
        <f t="shared" si="97"/>
        <v>-1.5027978861326119E-12</v>
      </c>
      <c r="I126" s="203">
        <f t="shared" si="97"/>
        <v>0</v>
      </c>
      <c r="J126" s="203">
        <f t="shared" si="97"/>
        <v>0</v>
      </c>
      <c r="K126" s="203">
        <f t="shared" si="97"/>
        <v>1.2860823517257813E-12</v>
      </c>
      <c r="L126" s="203">
        <f t="shared" si="97"/>
        <v>0</v>
      </c>
      <c r="M126" s="203">
        <f t="shared" si="97"/>
        <v>-5.9401372709544376E-12</v>
      </c>
      <c r="N126" s="203">
        <f t="shared" si="97"/>
        <v>-1.5027978861326119E-12</v>
      </c>
      <c r="O126" s="260"/>
      <c r="P126" s="260"/>
      <c r="Q126" s="191"/>
      <c r="R126" s="487"/>
      <c r="S126" s="487"/>
      <c r="T126" s="487"/>
      <c r="U126" s="487"/>
      <c r="V126" s="487"/>
      <c r="W126" s="487"/>
      <c r="X126" s="487"/>
      <c r="Y126" s="487"/>
      <c r="Z126" s="487"/>
      <c r="AA126" s="487"/>
      <c r="AB126" s="487"/>
      <c r="AC126" s="487"/>
      <c r="AD126" s="487"/>
      <c r="AE126" s="487"/>
    </row>
    <row r="127" spans="1:31" s="103" customFormat="1" ht="10.9" customHeight="1" x14ac:dyDescent="0.15">
      <c r="B127" s="190"/>
      <c r="C127" s="103" t="s">
        <v>741</v>
      </c>
      <c r="E127" s="203">
        <f t="shared" ref="E127:N127" si="98">IF(OR(E22="NA",E23="NA",E24="NA",E25="NA",E26="NA"),"NA",-SUM(E22)+SUM(E23)+SUM(E24)+SUM(E25)+SUM(E26))</f>
        <v>-1.8189894035458565E-12</v>
      </c>
      <c r="F127" s="203">
        <f t="shared" si="98"/>
        <v>0</v>
      </c>
      <c r="G127" s="203">
        <f t="shared" si="98"/>
        <v>0</v>
      </c>
      <c r="H127" s="203">
        <f t="shared" si="98"/>
        <v>-1.8189894035458565E-12</v>
      </c>
      <c r="I127" s="203">
        <f>IF(OR(I22="NA",I23="NA",I24="NA",I25="NA",J26="NA"),"NA",-SUM(I22)+SUM(I23)+SUM(I24)+SUM(I25)+SUM(J26))</f>
        <v>1071.272813</v>
      </c>
      <c r="J127" s="203" t="e">
        <f>IF(OR(J22="NA",J23="NA",J24="NA",J25="NA",#REF!="NA"),"NA",-SUM(J22)+SUM(J23)+SUM(J24)+SUM(J25)+SUM(#REF!))</f>
        <v>#REF!</v>
      </c>
      <c r="K127" s="203">
        <f t="shared" si="98"/>
        <v>2.2737367544323206E-13</v>
      </c>
      <c r="L127" s="203">
        <f t="shared" si="98"/>
        <v>-5.5511151231257827E-17</v>
      </c>
      <c r="M127" s="203">
        <f t="shared" si="98"/>
        <v>0</v>
      </c>
      <c r="N127" s="203">
        <f t="shared" si="98"/>
        <v>-1.8189894035458565E-12</v>
      </c>
      <c r="O127" s="260"/>
      <c r="P127" s="260"/>
      <c r="Q127" s="191"/>
      <c r="R127" s="487"/>
      <c r="S127" s="487"/>
      <c r="T127" s="487"/>
      <c r="U127" s="487"/>
      <c r="V127" s="487"/>
      <c r="W127" s="487"/>
      <c r="X127" s="487"/>
      <c r="Y127" s="487"/>
      <c r="Z127" s="487"/>
      <c r="AA127" s="487"/>
      <c r="AB127" s="487"/>
      <c r="AC127" s="487"/>
      <c r="AD127" s="487"/>
      <c r="AE127" s="487"/>
    </row>
    <row r="128" spans="1:31" s="103" customFormat="1" ht="10.9" customHeight="1" x14ac:dyDescent="0.15">
      <c r="B128" s="190"/>
      <c r="C128" s="103" t="s">
        <v>739</v>
      </c>
      <c r="E128" s="203">
        <f t="shared" ref="E128:N128" si="99">IF(OR(E30="NA",E31="NA",E32="NA"),"NA",-SUM(E30)+SUM(E31)+SUM(E32))</f>
        <v>0</v>
      </c>
      <c r="F128" s="203">
        <f t="shared" si="99"/>
        <v>0</v>
      </c>
      <c r="G128" s="203">
        <f t="shared" si="99"/>
        <v>3.3921E-2</v>
      </c>
      <c r="H128" s="203">
        <f t="shared" si="99"/>
        <v>0</v>
      </c>
      <c r="I128" s="203">
        <f t="shared" si="99"/>
        <v>0</v>
      </c>
      <c r="J128" s="203">
        <f t="shared" si="99"/>
        <v>4.9737991503207013E-14</v>
      </c>
      <c r="K128" s="203">
        <f t="shared" si="99"/>
        <v>5.6843418860808015E-14</v>
      </c>
      <c r="L128" s="203">
        <f t="shared" si="99"/>
        <v>-8.8817841970012523E-16</v>
      </c>
      <c r="M128" s="203">
        <f t="shared" si="99"/>
        <v>-1.1368683772161603E-13</v>
      </c>
      <c r="N128" s="203">
        <f t="shared" si="99"/>
        <v>0</v>
      </c>
      <c r="O128" s="260"/>
      <c r="P128" s="260"/>
      <c r="Q128" s="191"/>
      <c r="R128" s="487"/>
      <c r="S128" s="487"/>
      <c r="T128" s="487"/>
      <c r="U128" s="487"/>
      <c r="V128" s="487"/>
      <c r="W128" s="487"/>
      <c r="X128" s="487"/>
      <c r="Y128" s="487"/>
      <c r="Z128" s="487"/>
      <c r="AA128" s="487"/>
      <c r="AB128" s="487"/>
      <c r="AC128" s="487"/>
      <c r="AD128" s="487"/>
      <c r="AE128" s="487"/>
    </row>
    <row r="129" spans="2:31" s="103" customFormat="1" ht="10.9" customHeight="1" x14ac:dyDescent="0.15">
      <c r="B129" s="190"/>
      <c r="C129" s="103" t="s">
        <v>731</v>
      </c>
      <c r="E129" s="203">
        <f t="shared" ref="E129:N129" si="100">IF(OR(E34="NA",E35="NA",E36="NA",E37="NA",E38="NA",E39="NA",E40="NA"),"NA",-SUM(E34)+SUM(E35)+SUM(E36)+SUM(E37)+SUM(E38)+SUM(E39)+SUM(E40))</f>
        <v>0</v>
      </c>
      <c r="F129" s="203">
        <f t="shared" si="100"/>
        <v>0</v>
      </c>
      <c r="G129" s="203">
        <f t="shared" si="100"/>
        <v>0</v>
      </c>
      <c r="H129" s="203">
        <f t="shared" si="100"/>
        <v>0</v>
      </c>
      <c r="I129" s="203">
        <f t="shared" si="100"/>
        <v>0</v>
      </c>
      <c r="J129" s="203">
        <f t="shared" si="100"/>
        <v>0</v>
      </c>
      <c r="K129" s="203">
        <f t="shared" si="100"/>
        <v>0</v>
      </c>
      <c r="L129" s="203">
        <f t="shared" si="100"/>
        <v>0</v>
      </c>
      <c r="M129" s="203">
        <f t="shared" si="100"/>
        <v>0</v>
      </c>
      <c r="N129" s="203">
        <f t="shared" si="100"/>
        <v>0</v>
      </c>
      <c r="O129" s="260"/>
      <c r="P129" s="260"/>
      <c r="Q129" s="191"/>
      <c r="R129" s="487"/>
      <c r="S129" s="487"/>
      <c r="T129" s="487"/>
      <c r="U129" s="487"/>
      <c r="V129" s="487"/>
      <c r="W129" s="487"/>
      <c r="X129" s="487"/>
      <c r="Y129" s="487"/>
      <c r="Z129" s="487"/>
      <c r="AA129" s="487"/>
      <c r="AB129" s="487"/>
      <c r="AC129" s="487"/>
      <c r="AD129" s="487"/>
      <c r="AE129" s="487"/>
    </row>
    <row r="130" spans="2:31" s="103" customFormat="1" ht="10.9" customHeight="1" x14ac:dyDescent="0.15">
      <c r="B130" s="190"/>
      <c r="C130" s="103" t="s">
        <v>732</v>
      </c>
      <c r="E130" s="203">
        <f t="shared" ref="E130:N130" si="101">IF(OR(E43="NA",E44="NA",E45="NA",E46="NA",E47="NA"),"NA",-SUM(E43)+SUM(E44)+SUM(E45)+SUM(E46)+SUM(E47))</f>
        <v>0</v>
      </c>
      <c r="F130" s="203">
        <f t="shared" si="101"/>
        <v>0</v>
      </c>
      <c r="G130" s="203">
        <f t="shared" si="101"/>
        <v>0</v>
      </c>
      <c r="H130" s="203">
        <f t="shared" si="101"/>
        <v>0</v>
      </c>
      <c r="I130" s="203">
        <f t="shared" si="101"/>
        <v>0</v>
      </c>
      <c r="J130" s="203">
        <f t="shared" si="101"/>
        <v>0</v>
      </c>
      <c r="K130" s="203">
        <f t="shared" si="101"/>
        <v>0</v>
      </c>
      <c r="L130" s="203">
        <f t="shared" si="101"/>
        <v>0</v>
      </c>
      <c r="M130" s="203">
        <f t="shared" si="101"/>
        <v>0</v>
      </c>
      <c r="N130" s="203">
        <f t="shared" si="101"/>
        <v>0</v>
      </c>
      <c r="O130" s="260"/>
      <c r="P130" s="260"/>
      <c r="Q130" s="191"/>
      <c r="R130" s="487"/>
      <c r="S130" s="487"/>
      <c r="T130" s="487"/>
      <c r="U130" s="487"/>
      <c r="V130" s="487"/>
      <c r="W130" s="487"/>
      <c r="X130" s="487"/>
      <c r="Y130" s="487"/>
      <c r="Z130" s="487"/>
      <c r="AA130" s="487"/>
      <c r="AB130" s="487"/>
      <c r="AC130" s="487"/>
      <c r="AD130" s="487"/>
      <c r="AE130" s="487"/>
    </row>
    <row r="131" spans="2:31" s="103" customFormat="1" ht="10.9" customHeight="1" x14ac:dyDescent="0.15">
      <c r="B131" s="190"/>
      <c r="C131" s="103" t="s">
        <v>733</v>
      </c>
      <c r="E131" s="203">
        <f t="shared" ref="E131:N131" si="102">IF(OR(E48="NA",E49="NA",E50="NA",E51="NA"),"NA",-SUM(E48)+SUM(E49)+SUM(E50)+SUM(E51))</f>
        <v>0</v>
      </c>
      <c r="F131" s="203">
        <f t="shared" si="102"/>
        <v>0</v>
      </c>
      <c r="G131" s="203">
        <f t="shared" si="102"/>
        <v>0</v>
      </c>
      <c r="H131" s="203">
        <f t="shared" si="102"/>
        <v>0</v>
      </c>
      <c r="I131" s="203">
        <f t="shared" si="102"/>
        <v>0</v>
      </c>
      <c r="J131" s="203">
        <f t="shared" si="102"/>
        <v>0</v>
      </c>
      <c r="K131" s="203">
        <f t="shared" si="102"/>
        <v>0</v>
      </c>
      <c r="L131" s="435">
        <f t="shared" si="102"/>
        <v>0</v>
      </c>
      <c r="M131" s="203">
        <f t="shared" si="102"/>
        <v>0</v>
      </c>
      <c r="N131" s="203">
        <f t="shared" si="102"/>
        <v>0</v>
      </c>
      <c r="O131" s="260"/>
      <c r="P131" s="260"/>
      <c r="Q131" s="191"/>
      <c r="R131" s="487"/>
      <c r="S131" s="487"/>
      <c r="T131" s="487"/>
      <c r="U131" s="487"/>
      <c r="V131" s="487"/>
      <c r="W131" s="487"/>
      <c r="X131" s="487"/>
      <c r="Y131" s="487"/>
      <c r="Z131" s="487"/>
      <c r="AA131" s="487"/>
      <c r="AB131" s="487"/>
      <c r="AC131" s="487"/>
      <c r="AD131" s="487"/>
      <c r="AE131" s="487"/>
    </row>
    <row r="132" spans="2:31" s="103" customFormat="1" ht="10.9" customHeight="1" x14ac:dyDescent="0.15">
      <c r="B132" s="190"/>
      <c r="C132" s="103" t="s">
        <v>734</v>
      </c>
      <c r="E132" s="203">
        <f t="shared" ref="E132:N132" si="103">IF(OR(E53="NA",E54="NA",E55="NA"),"NA",-SUM(E53)+SUM(E54)+SUM(E55))</f>
        <v>0</v>
      </c>
      <c r="F132" s="203">
        <f t="shared" si="103"/>
        <v>0</v>
      </c>
      <c r="G132" s="203">
        <f t="shared" si="103"/>
        <v>0</v>
      </c>
      <c r="H132" s="203">
        <f t="shared" si="103"/>
        <v>0</v>
      </c>
      <c r="I132" s="203">
        <f t="shared" si="103"/>
        <v>0</v>
      </c>
      <c r="J132" s="203">
        <f t="shared" si="103"/>
        <v>0</v>
      </c>
      <c r="K132" s="203">
        <f t="shared" si="103"/>
        <v>0</v>
      </c>
      <c r="L132" s="203">
        <f t="shared" si="103"/>
        <v>0</v>
      </c>
      <c r="M132" s="203">
        <f t="shared" si="103"/>
        <v>0</v>
      </c>
      <c r="N132" s="203">
        <f t="shared" si="103"/>
        <v>0</v>
      </c>
      <c r="O132" s="260"/>
      <c r="P132" s="260"/>
      <c r="Q132" s="191"/>
      <c r="R132" s="487"/>
      <c r="S132" s="487"/>
      <c r="T132" s="487"/>
      <c r="U132" s="487"/>
      <c r="V132" s="487"/>
      <c r="W132" s="487"/>
      <c r="X132" s="487"/>
      <c r="Y132" s="487"/>
      <c r="Z132" s="487"/>
      <c r="AA132" s="487"/>
      <c r="AB132" s="487"/>
      <c r="AC132" s="487"/>
      <c r="AD132" s="487"/>
      <c r="AE132" s="487"/>
    </row>
    <row r="133" spans="2:31" s="103" customFormat="1" ht="10.9" customHeight="1" x14ac:dyDescent="0.15">
      <c r="B133" s="190"/>
      <c r="C133" s="103" t="s">
        <v>735</v>
      </c>
      <c r="E133" s="203">
        <f t="shared" ref="E133:N133" si="104">IF(OR(E56="NA",E57="NA",E58="NA"),"NA",-SUM(E56)+SUM(E57)+SUM(E58))</f>
        <v>0</v>
      </c>
      <c r="F133" s="203">
        <f t="shared" si="104"/>
        <v>0</v>
      </c>
      <c r="G133" s="203">
        <f t="shared" si="104"/>
        <v>0</v>
      </c>
      <c r="H133" s="203">
        <f t="shared" si="104"/>
        <v>0</v>
      </c>
      <c r="I133" s="203">
        <f t="shared" si="104"/>
        <v>0</v>
      </c>
      <c r="J133" s="203">
        <f t="shared" si="104"/>
        <v>0</v>
      </c>
      <c r="K133" s="203">
        <f t="shared" si="104"/>
        <v>0</v>
      </c>
      <c r="L133" s="203">
        <f t="shared" si="104"/>
        <v>0</v>
      </c>
      <c r="M133" s="203">
        <f t="shared" si="104"/>
        <v>0</v>
      </c>
      <c r="N133" s="203">
        <f t="shared" si="104"/>
        <v>0</v>
      </c>
      <c r="O133" s="260"/>
      <c r="P133" s="260"/>
      <c r="Q133" s="191"/>
      <c r="R133" s="487"/>
      <c r="S133" s="487"/>
      <c r="T133" s="487"/>
      <c r="U133" s="487"/>
      <c r="V133" s="487"/>
      <c r="W133" s="487"/>
      <c r="X133" s="487"/>
      <c r="Y133" s="487"/>
      <c r="Z133" s="487"/>
      <c r="AA133" s="487"/>
      <c r="AB133" s="487"/>
      <c r="AC133" s="487"/>
      <c r="AD133" s="487"/>
      <c r="AE133" s="487"/>
    </row>
    <row r="134" spans="2:31" s="103" customFormat="1" ht="10.9" customHeight="1" x14ac:dyDescent="0.15">
      <c r="B134" s="190"/>
      <c r="C134" s="103" t="s">
        <v>736</v>
      </c>
      <c r="E134" s="203">
        <f t="shared" ref="E134:N134" si="105">IF(OR(E59="NA",E60="NA",E61="NA"),"NA",-SUM(E59)+SUM(E60)+SUM(E61))</f>
        <v>-1.4210854715202004E-14</v>
      </c>
      <c r="F134" s="203">
        <f t="shared" si="105"/>
        <v>-2.2737367544323206E-13</v>
      </c>
      <c r="G134" s="203">
        <f t="shared" si="105"/>
        <v>-1.7053025658242404E-13</v>
      </c>
      <c r="H134" s="203">
        <f t="shared" si="105"/>
        <v>-5.6843418860808015E-14</v>
      </c>
      <c r="I134" s="203">
        <f t="shared" si="105"/>
        <v>5.9299787302791174E-14</v>
      </c>
      <c r="J134" s="203">
        <f t="shared" si="105"/>
        <v>1.3642420526593924E-12</v>
      </c>
      <c r="K134" s="203">
        <f t="shared" si="105"/>
        <v>-1.3642420526593924E-12</v>
      </c>
      <c r="L134" s="203">
        <f t="shared" si="105"/>
        <v>-2.7284841053187847E-12</v>
      </c>
      <c r="M134" s="203">
        <f t="shared" si="105"/>
        <v>0</v>
      </c>
      <c r="N134" s="203">
        <f t="shared" si="105"/>
        <v>2.6645352591003757E-15</v>
      </c>
      <c r="O134" s="260"/>
      <c r="P134" s="260"/>
      <c r="Q134" s="191"/>
      <c r="R134" s="487"/>
      <c r="S134" s="487"/>
      <c r="T134" s="487"/>
      <c r="U134" s="487"/>
      <c r="V134" s="487"/>
      <c r="W134" s="487"/>
      <c r="X134" s="487"/>
      <c r="Y134" s="487"/>
      <c r="Z134" s="487"/>
      <c r="AA134" s="487"/>
      <c r="AB134" s="487"/>
      <c r="AC134" s="487"/>
      <c r="AD134" s="487"/>
      <c r="AE134" s="487"/>
    </row>
    <row r="135" spans="2:31" s="103" customFormat="1" ht="10.9" customHeight="1" x14ac:dyDescent="0.15">
      <c r="B135" s="190"/>
      <c r="C135" s="103" t="s">
        <v>742</v>
      </c>
      <c r="E135" s="203">
        <f t="shared" ref="E135:N135" si="106">IF(OR(E63="NA",E64="NA",E68="NA",E69="NA",E70="NA",E71="NA",E72="NA"),"NA",-SUM(E63)+SUM(E64)+SUM(E68)+SUM(E69)+SUM(E70)+SUM(E71)+SUM(E72))</f>
        <v>0</v>
      </c>
      <c r="F135" s="203">
        <f t="shared" si="106"/>
        <v>-1.4210854715202004E-14</v>
      </c>
      <c r="G135" s="203">
        <f t="shared" si="106"/>
        <v>0</v>
      </c>
      <c r="H135" s="203">
        <f t="shared" si="106"/>
        <v>0</v>
      </c>
      <c r="I135" s="203">
        <f t="shared" si="106"/>
        <v>0</v>
      </c>
      <c r="J135" s="203">
        <f t="shared" si="106"/>
        <v>3.5527136788005009E-15</v>
      </c>
      <c r="K135" s="203">
        <f t="shared" si="106"/>
        <v>3.5527136788005009E-14</v>
      </c>
      <c r="L135" s="203">
        <f t="shared" si="106"/>
        <v>0</v>
      </c>
      <c r="M135" s="203">
        <f t="shared" si="106"/>
        <v>3.637978807091713E-12</v>
      </c>
      <c r="N135" s="203">
        <f t="shared" si="106"/>
        <v>1.8189894035458565E-12</v>
      </c>
      <c r="O135" s="260"/>
      <c r="P135" s="260"/>
      <c r="Q135" s="191"/>
      <c r="R135" s="487"/>
      <c r="S135" s="487"/>
      <c r="T135" s="487"/>
      <c r="U135" s="487"/>
      <c r="V135" s="487"/>
      <c r="W135" s="487"/>
      <c r="X135" s="487"/>
      <c r="Y135" s="487"/>
      <c r="Z135" s="487"/>
      <c r="AA135" s="487"/>
      <c r="AB135" s="487"/>
      <c r="AC135" s="487"/>
      <c r="AD135" s="487"/>
      <c r="AE135" s="487"/>
    </row>
    <row r="136" spans="2:31" s="103" customFormat="1" ht="10.9" customHeight="1" x14ac:dyDescent="0.15">
      <c r="B136" s="190"/>
      <c r="C136" s="103" t="s">
        <v>737</v>
      </c>
      <c r="E136" s="203">
        <f t="shared" ref="E136:N136" si="107">IF(OR(E73="NA",E74="NA",E75="NA",E76="NA",E77="NA"),"NA",-SUM(E73)+SUM(E74)+SUM(E75)+SUM(E76)+SUM(E77))</f>
        <v>-7.286948822127215E-13</v>
      </c>
      <c r="F136" s="203">
        <f t="shared" si="107"/>
        <v>0</v>
      </c>
      <c r="G136" s="203">
        <f t="shared" si="107"/>
        <v>0</v>
      </c>
      <c r="H136" s="203">
        <f t="shared" si="107"/>
        <v>1.8079981956020674E-13</v>
      </c>
      <c r="I136" s="203">
        <f t="shared" si="107"/>
        <v>1.0788809082229456E-13</v>
      </c>
      <c r="J136" s="203">
        <f t="shared" si="107"/>
        <v>1.3811174426336947E-13</v>
      </c>
      <c r="K136" s="203">
        <f t="shared" si="107"/>
        <v>2.6659924268201962E-13</v>
      </c>
      <c r="L136" s="203">
        <f t="shared" si="107"/>
        <v>0</v>
      </c>
      <c r="M136" s="203">
        <f t="shared" si="107"/>
        <v>2.1769253066850069E-12</v>
      </c>
      <c r="N136" s="203">
        <f t="shared" si="107"/>
        <v>6.3554717044667086E-13</v>
      </c>
      <c r="O136" s="260"/>
      <c r="P136" s="260"/>
      <c r="Q136" s="191"/>
      <c r="R136" s="487"/>
      <c r="S136" s="487"/>
      <c r="T136" s="487"/>
      <c r="U136" s="487"/>
      <c r="V136" s="487"/>
      <c r="W136" s="487"/>
      <c r="X136" s="487"/>
      <c r="Y136" s="487"/>
      <c r="Z136" s="487"/>
      <c r="AA136" s="487"/>
      <c r="AB136" s="487"/>
      <c r="AC136" s="487"/>
      <c r="AD136" s="487"/>
      <c r="AE136" s="487"/>
    </row>
    <row r="137" spans="2:31" s="103" customFormat="1" ht="10.9" customHeight="1" x14ac:dyDescent="0.15">
      <c r="B137" s="190"/>
      <c r="C137" s="103" t="s">
        <v>738</v>
      </c>
      <c r="E137" s="203">
        <f t="shared" ref="E137:N137" si="108">IF(OR(E79="NA",E80="NA",E83="NA"),"NA",-SUM(E79)+SUM(E80)+SUM(E83))</f>
        <v>-1.1368683772161603E-13</v>
      </c>
      <c r="F137" s="203">
        <f t="shared" si="108"/>
        <v>0</v>
      </c>
      <c r="G137" s="203">
        <f t="shared" si="108"/>
        <v>8.8817841970012523E-16</v>
      </c>
      <c r="H137" s="203">
        <f t="shared" si="108"/>
        <v>-1.1368683772161603E-13</v>
      </c>
      <c r="I137" s="203">
        <f t="shared" si="108"/>
        <v>2.55351295663786E-15</v>
      </c>
      <c r="J137" s="203">
        <f t="shared" si="108"/>
        <v>-4.2632564145606011E-14</v>
      </c>
      <c r="K137" s="203">
        <f t="shared" si="108"/>
        <v>-2.2026824808563106E-13</v>
      </c>
      <c r="L137" s="203">
        <f t="shared" si="108"/>
        <v>0</v>
      </c>
      <c r="M137" s="203">
        <f t="shared" si="108"/>
        <v>0</v>
      </c>
      <c r="N137" s="203">
        <f t="shared" si="108"/>
        <v>0</v>
      </c>
      <c r="O137" s="260"/>
      <c r="P137" s="260"/>
      <c r="Q137" s="191"/>
      <c r="R137" s="487"/>
      <c r="S137" s="487"/>
      <c r="T137" s="487"/>
      <c r="U137" s="487"/>
      <c r="V137" s="487"/>
      <c r="W137" s="487"/>
      <c r="X137" s="487"/>
      <c r="Y137" s="487"/>
      <c r="Z137" s="487"/>
      <c r="AA137" s="487"/>
      <c r="AB137" s="487"/>
      <c r="AC137" s="487"/>
      <c r="AD137" s="487"/>
      <c r="AE137" s="487"/>
    </row>
    <row r="138" spans="2:31" s="103" customFormat="1" ht="10.9" customHeight="1" x14ac:dyDescent="0.15">
      <c r="B138" s="190"/>
      <c r="C138" s="103" t="s">
        <v>744</v>
      </c>
      <c r="E138" s="203">
        <f t="shared" ref="E138:N138" si="109">IF(OR(E84="NA",E85="NA",E89="NA"),"NA",-SUM(E84)+SUM(E85)+SUM(E89))</f>
        <v>0</v>
      </c>
      <c r="F138" s="203">
        <f t="shared" si="109"/>
        <v>0</v>
      </c>
      <c r="G138" s="203">
        <f t="shared" si="109"/>
        <v>0</v>
      </c>
      <c r="H138" s="203">
        <f t="shared" si="109"/>
        <v>0</v>
      </c>
      <c r="I138" s="203">
        <f t="shared" si="109"/>
        <v>0</v>
      </c>
      <c r="J138" s="203">
        <f t="shared" si="109"/>
        <v>0</v>
      </c>
      <c r="K138" s="203">
        <f t="shared" si="109"/>
        <v>0</v>
      </c>
      <c r="L138" s="203">
        <f t="shared" si="109"/>
        <v>0</v>
      </c>
      <c r="M138" s="203">
        <f t="shared" si="109"/>
        <v>0</v>
      </c>
      <c r="N138" s="203">
        <f t="shared" si="109"/>
        <v>0</v>
      </c>
      <c r="O138" s="260"/>
      <c r="P138" s="260"/>
      <c r="Q138" s="191"/>
      <c r="R138" s="487"/>
      <c r="S138" s="487"/>
      <c r="T138" s="487"/>
      <c r="U138" s="487"/>
      <c r="V138" s="487"/>
      <c r="W138" s="487"/>
      <c r="X138" s="487"/>
      <c r="Y138" s="487"/>
      <c r="Z138" s="487"/>
      <c r="AA138" s="487"/>
      <c r="AB138" s="487"/>
      <c r="AC138" s="487"/>
      <c r="AD138" s="487"/>
      <c r="AE138" s="487"/>
    </row>
    <row r="139" spans="2:31" s="103" customFormat="1" ht="10.9" customHeight="1" x14ac:dyDescent="0.15">
      <c r="B139" s="190"/>
      <c r="C139" s="103" t="s">
        <v>745</v>
      </c>
      <c r="E139" s="203">
        <f t="shared" ref="E139:N139" si="110">IF(OR(E64="NA",E65="NA",E66="NA",E67="NA"),"NA",-SUM(E64)+SUM(E65)+SUM(E66)+SUM(E67))</f>
        <v>0</v>
      </c>
      <c r="F139" s="203">
        <f t="shared" si="110"/>
        <v>0</v>
      </c>
      <c r="G139" s="203">
        <f t="shared" si="110"/>
        <v>0</v>
      </c>
      <c r="H139" s="203">
        <f t="shared" si="110"/>
        <v>0</v>
      </c>
      <c r="I139" s="203">
        <f t="shared" si="110"/>
        <v>0</v>
      </c>
      <c r="J139" s="203">
        <f t="shared" si="110"/>
        <v>0</v>
      </c>
      <c r="K139" s="203">
        <f t="shared" si="110"/>
        <v>0</v>
      </c>
      <c r="L139" s="203">
        <f t="shared" si="110"/>
        <v>0</v>
      </c>
      <c r="M139" s="203">
        <f t="shared" si="110"/>
        <v>0</v>
      </c>
      <c r="N139" s="203">
        <f t="shared" si="110"/>
        <v>0</v>
      </c>
      <c r="O139" s="260"/>
      <c r="P139" s="260"/>
      <c r="Q139" s="191"/>
      <c r="R139" s="487"/>
      <c r="S139" s="487"/>
      <c r="T139" s="487"/>
      <c r="U139" s="487"/>
      <c r="V139" s="487"/>
      <c r="W139" s="487"/>
      <c r="X139" s="487"/>
      <c r="Y139" s="487"/>
      <c r="Z139" s="487"/>
      <c r="AA139" s="487"/>
      <c r="AB139" s="487"/>
      <c r="AC139" s="487"/>
      <c r="AD139" s="487"/>
      <c r="AE139" s="487"/>
    </row>
    <row r="140" spans="2:31" s="103" customFormat="1" ht="10.9" hidden="1" customHeight="1" x14ac:dyDescent="0.15">
      <c r="B140" s="190"/>
      <c r="C140" s="103" t="s">
        <v>743</v>
      </c>
      <c r="E140" s="203" t="str">
        <f t="shared" ref="E140:N140" si="111">IF(OR(E80="NA",E81="NA",E82="NA"),"NA",-SUM(E80)+SUM(E81)+SUM(E82))</f>
        <v>NA</v>
      </c>
      <c r="F140" s="203" t="str">
        <f t="shared" si="111"/>
        <v>NA</v>
      </c>
      <c r="G140" s="203" t="str">
        <f t="shared" si="111"/>
        <v>NA</v>
      </c>
      <c r="H140" s="203" t="str">
        <f t="shared" si="111"/>
        <v>NA</v>
      </c>
      <c r="I140" s="203" t="str">
        <f t="shared" si="111"/>
        <v>NA</v>
      </c>
      <c r="J140" s="203" t="str">
        <f t="shared" si="111"/>
        <v>NA</v>
      </c>
      <c r="K140" s="203" t="str">
        <f t="shared" si="111"/>
        <v>NA</v>
      </c>
      <c r="L140" s="203" t="str">
        <f t="shared" si="111"/>
        <v>NA</v>
      </c>
      <c r="M140" s="203" t="str">
        <f t="shared" si="111"/>
        <v>NA</v>
      </c>
      <c r="N140" s="203" t="str">
        <f t="shared" si="111"/>
        <v>NA</v>
      </c>
      <c r="O140" s="260"/>
      <c r="P140" s="260"/>
      <c r="Q140" s="191"/>
      <c r="R140" s="487"/>
      <c r="S140" s="487"/>
      <c r="T140" s="487"/>
      <c r="U140" s="487"/>
      <c r="V140" s="487"/>
      <c r="W140" s="487"/>
      <c r="X140" s="487"/>
      <c r="Y140" s="487"/>
      <c r="Z140" s="487"/>
      <c r="AA140" s="487"/>
      <c r="AB140" s="487"/>
      <c r="AC140" s="487"/>
      <c r="AD140" s="487"/>
      <c r="AE140" s="487"/>
    </row>
    <row r="141" spans="2:31" s="103" customFormat="1" ht="10.9" hidden="1" customHeight="1" x14ac:dyDescent="0.15">
      <c r="B141" s="204"/>
      <c r="C141" s="140" t="s">
        <v>746</v>
      </c>
      <c r="D141" s="140"/>
      <c r="E141" s="206" t="str">
        <f t="shared" ref="E141:N141" si="112">IF(OR(E85="NA",E86="NA",E87="NA",E88="NA",E62="NA"),"NA",-SUM(E85)+SUM(E86)+SUM(E87)+SUM(E88))</f>
        <v>NA</v>
      </c>
      <c r="F141" s="206" t="str">
        <f t="shared" si="112"/>
        <v>NA</v>
      </c>
      <c r="G141" s="206" t="str">
        <f t="shared" si="112"/>
        <v>NA</v>
      </c>
      <c r="H141" s="206" t="str">
        <f t="shared" si="112"/>
        <v>NA</v>
      </c>
      <c r="I141" s="206" t="str">
        <f t="shared" si="112"/>
        <v>NA</v>
      </c>
      <c r="J141" s="206" t="str">
        <f t="shared" si="112"/>
        <v>NA</v>
      </c>
      <c r="K141" s="206" t="str">
        <f t="shared" si="112"/>
        <v>NA</v>
      </c>
      <c r="L141" s="206" t="str">
        <f t="shared" si="112"/>
        <v>NA</v>
      </c>
      <c r="M141" s="206" t="str">
        <f t="shared" si="112"/>
        <v>NA</v>
      </c>
      <c r="N141" s="206" t="str">
        <f t="shared" si="112"/>
        <v>NA</v>
      </c>
      <c r="O141" s="260"/>
      <c r="P141" s="260"/>
      <c r="Q141" s="191"/>
      <c r="R141" s="487"/>
      <c r="S141" s="487"/>
      <c r="T141" s="487"/>
      <c r="U141" s="487"/>
      <c r="V141" s="487"/>
      <c r="W141" s="487"/>
      <c r="X141" s="487"/>
      <c r="Y141" s="487"/>
      <c r="Z141" s="487"/>
      <c r="AA141" s="487"/>
      <c r="AB141" s="487"/>
      <c r="AC141" s="487"/>
      <c r="AD141" s="487"/>
      <c r="AE141" s="487"/>
    </row>
    <row r="142" spans="2:31" s="103" customFormat="1" ht="10.9" customHeight="1" x14ac:dyDescent="0.15">
      <c r="B142" s="697" t="s">
        <v>2777</v>
      </c>
      <c r="C142" s="714"/>
      <c r="E142" s="212"/>
      <c r="F142" s="212"/>
      <c r="G142" s="212"/>
      <c r="H142" s="212"/>
      <c r="I142" s="212"/>
      <c r="J142" s="212"/>
      <c r="K142" s="212"/>
      <c r="L142" s="212"/>
      <c r="M142" s="212"/>
      <c r="N142" s="212"/>
      <c r="O142" s="191"/>
      <c r="P142" s="191"/>
      <c r="Q142" s="191"/>
      <c r="R142" s="487"/>
      <c r="S142" s="487"/>
      <c r="T142" s="487"/>
      <c r="U142" s="487"/>
      <c r="V142" s="487"/>
      <c r="W142" s="487"/>
      <c r="X142" s="487"/>
      <c r="Y142" s="487"/>
      <c r="Z142" s="487"/>
      <c r="AA142" s="487"/>
      <c r="AB142" s="487"/>
      <c r="AC142" s="487"/>
      <c r="AD142" s="487"/>
      <c r="AE142" s="487"/>
    </row>
    <row r="143" spans="2:31" s="103" customFormat="1" ht="10.9" customHeight="1" x14ac:dyDescent="0.15">
      <c r="B143" s="697"/>
      <c r="C143" s="698" t="s">
        <v>2959</v>
      </c>
      <c r="E143" s="212"/>
      <c r="F143" s="212"/>
      <c r="G143" s="212"/>
      <c r="H143" s="212"/>
      <c r="I143" s="212"/>
      <c r="J143" s="212"/>
      <c r="K143" s="212"/>
      <c r="L143" s="212"/>
      <c r="M143" s="212"/>
      <c r="N143" s="212"/>
      <c r="O143" s="191"/>
      <c r="P143" s="191"/>
      <c r="Q143" s="191"/>
      <c r="R143" s="487"/>
      <c r="S143" s="487"/>
      <c r="T143" s="487"/>
      <c r="U143" s="487"/>
      <c r="V143" s="487"/>
      <c r="W143" s="487"/>
      <c r="X143" s="487"/>
      <c r="Y143" s="487"/>
      <c r="Z143" s="487"/>
      <c r="AA143" s="487"/>
      <c r="AB143" s="487"/>
      <c r="AC143" s="487"/>
      <c r="AD143" s="487"/>
      <c r="AE143" s="487"/>
    </row>
    <row r="144" spans="2:31" s="103" customFormat="1" ht="10.9" customHeight="1" x14ac:dyDescent="0.15">
      <c r="B144" s="190"/>
      <c r="C144" s="214" t="s">
        <v>3375</v>
      </c>
      <c r="E144" s="215"/>
      <c r="F144" s="215"/>
      <c r="G144" s="215"/>
      <c r="H144" s="215"/>
      <c r="I144" s="215"/>
      <c r="J144" s="215"/>
      <c r="K144" s="215"/>
      <c r="L144" s="215"/>
      <c r="M144" s="203" t="str">
        <f>IF(OR(M59="NA"),"NA",IF(ISNUMBER(M59),IF(ROUND(M59,1)&lt;0.1,"Si","Vérificar!"),"Vérificar!"))</f>
        <v>Vérificar!</v>
      </c>
      <c r="N144" s="215"/>
      <c r="O144" s="260"/>
      <c r="P144" s="260"/>
      <c r="Q144" s="191"/>
      <c r="R144" s="487"/>
      <c r="S144" s="487"/>
      <c r="T144" s="487"/>
      <c r="U144" s="487"/>
      <c r="V144" s="487"/>
      <c r="W144" s="487"/>
      <c r="X144" s="487"/>
      <c r="Y144" s="487"/>
      <c r="Z144" s="487"/>
      <c r="AA144" s="487"/>
      <c r="AB144" s="487"/>
      <c r="AC144" s="487"/>
      <c r="AD144" s="487"/>
      <c r="AE144" s="487"/>
    </row>
    <row r="145" spans="2:31" s="103" customFormat="1" ht="10.9" customHeight="1" x14ac:dyDescent="0.15">
      <c r="B145" s="190"/>
      <c r="C145" s="214" t="s">
        <v>3376</v>
      </c>
      <c r="E145" s="215"/>
      <c r="F145" s="215"/>
      <c r="G145" s="215"/>
      <c r="H145" s="215"/>
      <c r="I145" s="215"/>
      <c r="J145" s="215"/>
      <c r="K145" s="215"/>
      <c r="L145" s="215"/>
      <c r="M145" s="203" t="str">
        <f>IF(OR(M60="NA"),"NA",IF(ISNUMBER(M60),IF(ROUND(M60,1)&lt;0.1,"Si","Vérificar!"),"Vérificar!"))</f>
        <v>Vérificar!</v>
      </c>
      <c r="N145" s="215"/>
      <c r="O145" s="260"/>
      <c r="P145" s="260"/>
      <c r="Q145" s="191"/>
      <c r="R145" s="487"/>
      <c r="S145" s="487"/>
      <c r="T145" s="487"/>
      <c r="U145" s="487"/>
      <c r="V145" s="487"/>
      <c r="W145" s="487"/>
      <c r="X145" s="487"/>
      <c r="Y145" s="487"/>
      <c r="Z145" s="487"/>
      <c r="AA145" s="487"/>
      <c r="AB145" s="487"/>
      <c r="AC145" s="487"/>
      <c r="AD145" s="487"/>
      <c r="AE145" s="487"/>
    </row>
    <row r="146" spans="2:31" s="103" customFormat="1" ht="10.9" customHeight="1" x14ac:dyDescent="0.15">
      <c r="B146" s="190"/>
      <c r="C146" s="214" t="s">
        <v>3377</v>
      </c>
      <c r="E146" s="215"/>
      <c r="F146" s="215"/>
      <c r="G146" s="215"/>
      <c r="H146" s="215"/>
      <c r="I146" s="215"/>
      <c r="J146" s="215"/>
      <c r="K146" s="215"/>
      <c r="L146" s="215"/>
      <c r="M146" s="203" t="str">
        <f>IF(OR(M61="NA"),"NA",IF(ISNUMBER(M61),IF(ROUND(M61,1)&lt;0.1,"Si","Vérificar!"),"Vérificar!"))</f>
        <v>Vérificar!</v>
      </c>
      <c r="N146" s="215"/>
      <c r="O146" s="260"/>
      <c r="P146" s="260"/>
      <c r="Q146" s="191"/>
      <c r="R146" s="487"/>
      <c r="S146" s="487"/>
      <c r="T146" s="487"/>
      <c r="U146" s="487"/>
      <c r="V146" s="487"/>
      <c r="W146" s="487"/>
      <c r="X146" s="487"/>
      <c r="Y146" s="487"/>
      <c r="Z146" s="487"/>
      <c r="AA146" s="487"/>
      <c r="AB146" s="487"/>
      <c r="AC146" s="487"/>
      <c r="AD146" s="487"/>
      <c r="AE146" s="487"/>
    </row>
    <row r="147" spans="2:31" s="103" customFormat="1" ht="10.9" customHeight="1" x14ac:dyDescent="0.15">
      <c r="B147" s="190"/>
      <c r="C147" s="214" t="s">
        <v>3378</v>
      </c>
      <c r="E147" s="215"/>
      <c r="F147" s="215"/>
      <c r="G147" s="215"/>
      <c r="H147" s="215"/>
      <c r="I147" s="215"/>
      <c r="J147" s="215"/>
      <c r="K147" s="215"/>
      <c r="L147" s="215"/>
      <c r="M147" s="203" t="str">
        <f>IF(OR(M67="NA"),"NA",IF(ISNUMBER(M67),IF(ROUND(M67,1)&lt;0.1,"Si","Vérifier!"),"Vérificar!"))</f>
        <v>Si</v>
      </c>
      <c r="N147" s="215"/>
      <c r="O147" s="260"/>
      <c r="P147" s="260"/>
      <c r="Q147" s="191"/>
      <c r="R147" s="487"/>
      <c r="S147" s="487"/>
      <c r="T147" s="487"/>
      <c r="U147" s="487"/>
      <c r="V147" s="487"/>
      <c r="W147" s="487"/>
      <c r="X147" s="487"/>
      <c r="Y147" s="487"/>
      <c r="Z147" s="487"/>
      <c r="AA147" s="487"/>
      <c r="AB147" s="487"/>
      <c r="AC147" s="487"/>
      <c r="AD147" s="487"/>
      <c r="AE147" s="487"/>
    </row>
    <row r="148" spans="2:31" s="103" customFormat="1" ht="10.9" customHeight="1" x14ac:dyDescent="0.15">
      <c r="B148" s="200"/>
      <c r="C148" s="698" t="s">
        <v>2840</v>
      </c>
      <c r="E148" s="212"/>
      <c r="F148" s="212"/>
      <c r="G148" s="212"/>
      <c r="H148" s="212"/>
      <c r="I148" s="212"/>
      <c r="J148" s="212"/>
      <c r="K148" s="212"/>
      <c r="L148" s="212"/>
      <c r="M148" s="212"/>
      <c r="N148" s="212"/>
      <c r="O148" s="191"/>
      <c r="P148" s="191"/>
      <c r="Q148" s="191"/>
      <c r="R148" s="487"/>
      <c r="S148" s="487"/>
      <c r="T148" s="487"/>
      <c r="U148" s="487"/>
      <c r="V148" s="487"/>
      <c r="W148" s="487"/>
      <c r="X148" s="487"/>
      <c r="Y148" s="487"/>
      <c r="Z148" s="487"/>
      <c r="AA148" s="487"/>
      <c r="AB148" s="487"/>
      <c r="AC148" s="487"/>
      <c r="AD148" s="487"/>
      <c r="AE148" s="487"/>
    </row>
    <row r="149" spans="2:31" s="103" customFormat="1" ht="10.9" customHeight="1" x14ac:dyDescent="0.15">
      <c r="B149" s="190"/>
      <c r="C149" s="214" t="s">
        <v>3385</v>
      </c>
      <c r="E149" s="215"/>
      <c r="F149" s="215"/>
      <c r="G149" s="203" t="str">
        <f t="array" ref="G149">IF(OR(G11:G12="NA"),"NA",IF(AND(ROUND(G11:G12,1)=0),"Si","Vérificar!"))</f>
        <v>Si</v>
      </c>
      <c r="H149" s="215"/>
      <c r="I149" s="215"/>
      <c r="J149" s="215"/>
      <c r="K149" s="215"/>
      <c r="L149" s="203" t="str">
        <f t="array" ref="L149">IF(OR(L11:L12="NA"),"NA",IF(AND(ROUND(L11:L12,1)=0),"Si","Vérificar!"))</f>
        <v>Si</v>
      </c>
      <c r="M149" s="215"/>
      <c r="N149" s="215"/>
      <c r="O149" s="191"/>
      <c r="P149" s="191"/>
      <c r="Q149" s="191"/>
      <c r="R149" s="487"/>
      <c r="S149" s="487"/>
      <c r="T149" s="487"/>
      <c r="U149" s="487"/>
      <c r="V149" s="487"/>
      <c r="W149" s="487"/>
      <c r="X149" s="487"/>
      <c r="Y149" s="487"/>
      <c r="Z149" s="487"/>
      <c r="AA149" s="487"/>
      <c r="AB149" s="487"/>
      <c r="AC149" s="487"/>
      <c r="AD149" s="487"/>
      <c r="AE149" s="487"/>
    </row>
    <row r="150" spans="2:31" s="103" customFormat="1" ht="10.9" customHeight="1" x14ac:dyDescent="0.15">
      <c r="B150" s="190"/>
      <c r="C150" s="214" t="s">
        <v>3379</v>
      </c>
      <c r="E150" s="215"/>
      <c r="F150" s="215"/>
      <c r="G150" s="203" t="str">
        <f t="array" ref="G150">IF(OR(G42:G51="NA"),"NA",IF(AND(ROUND(G42:G51,1)=0),"Si","Vérificar!"))</f>
        <v>Si</v>
      </c>
      <c r="H150" s="215"/>
      <c r="I150" s="215"/>
      <c r="J150" s="215"/>
      <c r="K150" s="215"/>
      <c r="L150" s="203" t="str">
        <f t="array" ref="L150">IF(OR(L42:L51="NA"),"NA",IF(AND(ROUND(L42:L51,1)=0),"Si","Vérificar!"))</f>
        <v>Si</v>
      </c>
      <c r="M150" s="215"/>
      <c r="N150" s="215"/>
      <c r="O150" s="191"/>
      <c r="P150" s="191"/>
      <c r="Q150" s="191"/>
      <c r="R150" s="487"/>
      <c r="S150" s="487"/>
      <c r="T150" s="487"/>
      <c r="U150" s="487"/>
      <c r="V150" s="487"/>
      <c r="W150" s="487"/>
      <c r="X150" s="487"/>
      <c r="Y150" s="487"/>
      <c r="Z150" s="487"/>
      <c r="AA150" s="487"/>
      <c r="AB150" s="487"/>
      <c r="AC150" s="487"/>
      <c r="AD150" s="487"/>
      <c r="AE150" s="487"/>
    </row>
    <row r="151" spans="2:31" s="103" customFormat="1" ht="10.9" customHeight="1" x14ac:dyDescent="0.15">
      <c r="B151" s="190"/>
      <c r="C151" s="214" t="s">
        <v>3380</v>
      </c>
      <c r="E151" s="215"/>
      <c r="F151" s="215"/>
      <c r="G151" s="203" t="str">
        <f t="array" ref="G151">IF(OR(G53:G58="NA"),"NA",IF(AND(ROUND(G53:G58,1)=0),"Si","Vérificar!"))</f>
        <v>Si</v>
      </c>
      <c r="H151" s="215"/>
      <c r="I151" s="215"/>
      <c r="J151" s="215"/>
      <c r="K151" s="215"/>
      <c r="L151" s="203" t="str">
        <f t="array" ref="L151">IF(OR(L53:L58="NA"),"NA",IF(AND(ROUND(L53:L58,1)=0),"Si","Vérificar!"))</f>
        <v>Si</v>
      </c>
      <c r="M151" s="215"/>
      <c r="N151" s="215"/>
      <c r="O151" s="191"/>
      <c r="P151" s="191"/>
      <c r="Q151" s="191"/>
      <c r="R151" s="487"/>
      <c r="S151" s="487"/>
      <c r="T151" s="487"/>
      <c r="U151" s="487"/>
      <c r="V151" s="487"/>
      <c r="W151" s="487"/>
      <c r="X151" s="487"/>
      <c r="Y151" s="487"/>
      <c r="Z151" s="487"/>
      <c r="AA151" s="487"/>
      <c r="AB151" s="487"/>
      <c r="AC151" s="487"/>
      <c r="AD151" s="487"/>
      <c r="AE151" s="487"/>
    </row>
    <row r="152" spans="2:31" s="103" customFormat="1" ht="10.9" customHeight="1" x14ac:dyDescent="0.15">
      <c r="B152" s="190"/>
      <c r="C152" s="214" t="s">
        <v>3381</v>
      </c>
      <c r="E152" s="215"/>
      <c r="F152" s="215"/>
      <c r="G152" s="203" t="str">
        <f t="array" ref="G152">IF(OR(G66:G67="NA"),"NA",IF(AND(ROUND(G66:G67,1)=0),"Si","verificar!"))</f>
        <v>verificar!</v>
      </c>
      <c r="H152" s="741"/>
      <c r="I152" s="741"/>
      <c r="J152" s="741"/>
      <c r="K152" s="741"/>
      <c r="L152" s="203" t="str">
        <f t="array" ref="L152">IF(OR(L66:L67="NA"),"NA",IF(AND(ROUND(L66:L67,1)=0),"Si","verificar!"))</f>
        <v>verificar!</v>
      </c>
      <c r="M152" s="215"/>
      <c r="N152" s="215"/>
      <c r="O152" s="191"/>
      <c r="P152" s="191"/>
      <c r="Q152" s="191"/>
      <c r="R152" s="487"/>
      <c r="S152" s="487"/>
      <c r="T152" s="487"/>
      <c r="U152" s="487"/>
      <c r="V152" s="487"/>
      <c r="W152" s="487"/>
      <c r="X152" s="487"/>
      <c r="Y152" s="487"/>
      <c r="Z152" s="487"/>
      <c r="AA152" s="487"/>
      <c r="AB152" s="487"/>
      <c r="AC152" s="487"/>
      <c r="AD152" s="487"/>
      <c r="AE152" s="487"/>
    </row>
    <row r="153" spans="2:31" s="103" customFormat="1" ht="10.9" customHeight="1" x14ac:dyDescent="0.15">
      <c r="B153" s="190"/>
      <c r="C153" s="214" t="s">
        <v>3382</v>
      </c>
      <c r="E153" s="215"/>
      <c r="F153" s="215"/>
      <c r="G153" s="203" t="str">
        <f t="array" ref="G153">IF(OR(G69:G71="NA"),"NA",IF(AND(ROUND(G69:G71,1)=0),"Si","verificar!"))</f>
        <v>Si</v>
      </c>
      <c r="H153" s="741"/>
      <c r="I153" s="741"/>
      <c r="J153" s="741"/>
      <c r="K153" s="741"/>
      <c r="L153" s="203" t="str">
        <f t="array" ref="L153">IF(OR(L69:L71="NA"),"NA",IF(AND(ROUND(L69:L71,1)=0),"Si","verificar!"))</f>
        <v>Si</v>
      </c>
      <c r="M153" s="215"/>
      <c r="N153" s="215"/>
      <c r="O153" s="191"/>
      <c r="P153" s="191"/>
      <c r="Q153" s="191"/>
      <c r="R153" s="487"/>
      <c r="S153" s="487"/>
      <c r="T153" s="487"/>
      <c r="U153" s="487"/>
      <c r="V153" s="487"/>
      <c r="W153" s="487"/>
      <c r="X153" s="487"/>
      <c r="Y153" s="487"/>
      <c r="Z153" s="487"/>
      <c r="AA153" s="487"/>
      <c r="AB153" s="487"/>
      <c r="AC153" s="487"/>
      <c r="AD153" s="487"/>
      <c r="AE153" s="487"/>
    </row>
    <row r="154" spans="2:31" s="103" customFormat="1" ht="10.9" customHeight="1" x14ac:dyDescent="0.15">
      <c r="B154" s="190"/>
      <c r="C154" s="214" t="s">
        <v>3383</v>
      </c>
      <c r="E154" s="215"/>
      <c r="F154" s="215"/>
      <c r="G154" s="203" t="str">
        <f t="array" ref="G154">IF(OR(G72="NA"),"NA",IF(ROUND(G72,1)=0,"Si","verificar!"))</f>
        <v>Si</v>
      </c>
      <c r="H154" s="741"/>
      <c r="I154" s="741"/>
      <c r="J154" s="741"/>
      <c r="K154" s="741"/>
      <c r="L154" s="203" t="str">
        <f t="array" ref="L154">IF(OR(L73="NA"),"NA",IF(ROUND(L73,1)=0,"Si","verificar!"))</f>
        <v>verificar!</v>
      </c>
      <c r="M154" s="215"/>
      <c r="N154" s="215"/>
      <c r="O154" s="191"/>
      <c r="P154" s="191"/>
      <c r="Q154" s="191"/>
      <c r="R154" s="487"/>
      <c r="S154" s="487"/>
      <c r="T154" s="487"/>
      <c r="U154" s="487"/>
      <c r="V154" s="487"/>
      <c r="W154" s="487"/>
      <c r="X154" s="487"/>
      <c r="Y154" s="487"/>
      <c r="Z154" s="487"/>
      <c r="AA154" s="487"/>
      <c r="AB154" s="487"/>
      <c r="AC154" s="487"/>
      <c r="AD154" s="487"/>
      <c r="AE154" s="487"/>
    </row>
    <row r="155" spans="2:31" s="103" customFormat="1" ht="10.9" hidden="1" customHeight="1" x14ac:dyDescent="0.15">
      <c r="B155" s="190"/>
      <c r="C155" s="214" t="s">
        <v>3384</v>
      </c>
      <c r="E155" s="215"/>
      <c r="F155" s="215"/>
      <c r="G155" s="203" t="str">
        <f t="array" ref="G155">IF(OR(G82:G83="NA"),"NA",IF(AND(ROUND(G82:G83,1)=0),"Oui","Vérifier!"))</f>
        <v>NA</v>
      </c>
      <c r="H155" s="215"/>
      <c r="I155" s="215"/>
      <c r="J155" s="215"/>
      <c r="K155" s="215"/>
      <c r="L155" s="203" t="str">
        <f t="array" ref="L155">IF(OR(L82:L83="NA"),"NA",IF(AND(ROUND(L82:L83,1)=0),"Oui","Vérifier!"))</f>
        <v>NA</v>
      </c>
      <c r="M155" s="215"/>
      <c r="N155" s="215"/>
      <c r="O155" s="191"/>
      <c r="P155" s="191"/>
      <c r="Q155" s="191"/>
      <c r="R155" s="487"/>
      <c r="S155" s="487"/>
      <c r="T155" s="487"/>
      <c r="U155" s="487"/>
      <c r="V155" s="487"/>
      <c r="W155" s="487"/>
      <c r="X155" s="487"/>
      <c r="Y155" s="487"/>
      <c r="Z155" s="487"/>
      <c r="AA155" s="487"/>
      <c r="AB155" s="487"/>
      <c r="AC155" s="487"/>
      <c r="AD155" s="487"/>
      <c r="AE155" s="487"/>
    </row>
    <row r="156" spans="2:31" s="103" customFormat="1" ht="10.9" customHeight="1" x14ac:dyDescent="0.15">
      <c r="B156" s="200"/>
      <c r="C156" s="698" t="s">
        <v>2960</v>
      </c>
      <c r="E156" s="212"/>
      <c r="F156" s="212"/>
      <c r="G156" s="216"/>
      <c r="H156" s="212"/>
      <c r="I156" s="212"/>
      <c r="J156" s="212"/>
      <c r="K156" s="212"/>
      <c r="L156" s="216"/>
      <c r="M156" s="212"/>
      <c r="N156" s="212"/>
      <c r="O156" s="191"/>
      <c r="P156" s="191"/>
      <c r="Q156" s="191"/>
      <c r="R156" s="487"/>
      <c r="S156" s="487"/>
      <c r="T156" s="487"/>
      <c r="U156" s="487"/>
      <c r="V156" s="487"/>
      <c r="W156" s="487"/>
      <c r="X156" s="487"/>
      <c r="Y156" s="487"/>
      <c r="Z156" s="487"/>
      <c r="AA156" s="487"/>
      <c r="AB156" s="487"/>
      <c r="AC156" s="487"/>
      <c r="AD156" s="487"/>
      <c r="AE156" s="487"/>
    </row>
    <row r="157" spans="2:31" s="103" customFormat="1" ht="10.9" customHeight="1" x14ac:dyDescent="0.15">
      <c r="B157" s="190"/>
      <c r="C157" s="214" t="s">
        <v>3386</v>
      </c>
      <c r="E157" s="215"/>
      <c r="F157" s="215"/>
      <c r="G157" s="203" t="str">
        <f>IF(OR(G59="NA",Table2!G31="NA"),"NA",IF(AND(ISNUMBER(G59),ISNUMBER(G31)),IF(ROUND(G59,1)=ROUND(Table2!G31,1),"Si","Vérificar!"),"Vérificar!"))</f>
        <v>Vérificar!</v>
      </c>
      <c r="H157" s="215"/>
      <c r="I157" s="215"/>
      <c r="J157" s="215"/>
      <c r="K157" s="215"/>
      <c r="L157" s="203" t="str">
        <f>IF(OR(L59="NA",Table2!L31="NA"),"NA",IF(AND(ISNUMBER(L59),ISNUMBER(L31)),IF(ROUND(L59,1)=ROUND(Table2!L31,1),"Si","Vérificar!"),"Vérificar!"))</f>
        <v>Vérificar!</v>
      </c>
      <c r="M157" s="215"/>
      <c r="N157" s="215"/>
      <c r="O157" s="191"/>
      <c r="P157" s="191"/>
      <c r="Q157" s="191"/>
      <c r="R157" s="487"/>
      <c r="S157" s="487"/>
      <c r="T157" s="487"/>
      <c r="U157" s="487"/>
      <c r="V157" s="487"/>
      <c r="W157" s="487"/>
      <c r="X157" s="487"/>
      <c r="Y157" s="487"/>
      <c r="Z157" s="487"/>
      <c r="AA157" s="487"/>
      <c r="AB157" s="487"/>
      <c r="AC157" s="487"/>
      <c r="AD157" s="487"/>
      <c r="AE157" s="487"/>
    </row>
    <row r="158" spans="2:31" s="103" customFormat="1" ht="10.9" customHeight="1" x14ac:dyDescent="0.15">
      <c r="B158" s="190"/>
      <c r="C158" s="214" t="s">
        <v>3387</v>
      </c>
      <c r="E158" s="215"/>
      <c r="F158" s="215"/>
      <c r="G158" s="203" t="str">
        <f>IF(OR(G60="NA",Table2!G32="NA"),"NA",IF(ROUND(G60,1)=ROUND(Table2!G32,1),"Si","Vérifier!"))</f>
        <v>Vérifier!</v>
      </c>
      <c r="H158" s="215"/>
      <c r="I158" s="215"/>
      <c r="J158" s="215"/>
      <c r="K158" s="215"/>
      <c r="L158" s="203" t="str">
        <f>IF(OR(L60="NA",Table2!L32="NA"),"NA",IF(ROUND(L60,1)=ROUND(Table2!L32,1),"Si","Vérificar!"))</f>
        <v>Vérificar!</v>
      </c>
      <c r="M158" s="215"/>
      <c r="N158" s="215"/>
      <c r="O158" s="191"/>
      <c r="P158" s="191"/>
      <c r="Q158" s="191"/>
      <c r="R158" s="487"/>
      <c r="S158" s="487"/>
      <c r="T158" s="487"/>
      <c r="U158" s="487"/>
      <c r="V158" s="487"/>
      <c r="W158" s="487"/>
      <c r="X158" s="487"/>
      <c r="Y158" s="487"/>
      <c r="Z158" s="487"/>
      <c r="AA158" s="487"/>
      <c r="AB158" s="487"/>
      <c r="AC158" s="487"/>
      <c r="AD158" s="487"/>
      <c r="AE158" s="487"/>
    </row>
    <row r="159" spans="2:31" s="103" customFormat="1" ht="10.9" customHeight="1" x14ac:dyDescent="0.15">
      <c r="B159" s="190"/>
      <c r="C159" s="214" t="s">
        <v>3388</v>
      </c>
      <c r="E159" s="215"/>
      <c r="F159" s="215"/>
      <c r="G159" s="203" t="str">
        <f>IF(OR(G33="NA",Table2!G33="NA"),"NA",IF(ROUND(G61,1)=ROUND(Table2!G33,1),"Si","Vérifier!"))</f>
        <v>Vérifier!</v>
      </c>
      <c r="H159" s="215"/>
      <c r="I159" s="215"/>
      <c r="J159" s="215"/>
      <c r="K159" s="215"/>
      <c r="L159" s="203" t="str">
        <f>IF(OR(L33="NA",Table2!L33="NA"),"NA",IF(ROUND(L61,1)=ROUND(Table2!L33,1),"Si","Vérificar!"))</f>
        <v>Vérificar!</v>
      </c>
      <c r="M159" s="215"/>
      <c r="N159" s="215"/>
      <c r="O159" s="191"/>
      <c r="P159" s="191"/>
      <c r="Q159" s="191"/>
      <c r="R159" s="487"/>
      <c r="S159" s="487"/>
      <c r="T159" s="487"/>
      <c r="U159" s="487"/>
      <c r="V159" s="487"/>
      <c r="W159" s="487"/>
      <c r="X159" s="487"/>
      <c r="Y159" s="487"/>
      <c r="Z159" s="487"/>
      <c r="AA159" s="487"/>
      <c r="AB159" s="487"/>
      <c r="AC159" s="487"/>
      <c r="AD159" s="487"/>
      <c r="AE159" s="487"/>
    </row>
    <row r="160" spans="2:31" s="103" customFormat="1" ht="10.9" customHeight="1" x14ac:dyDescent="0.15">
      <c r="B160" s="190"/>
      <c r="C160" s="214" t="s">
        <v>3389</v>
      </c>
      <c r="E160" s="215"/>
      <c r="F160" s="215"/>
      <c r="G160" s="203" t="str">
        <f>IF(OR(G67="NA",Table2!G19="NA"),"NA",IF(ROUND(G67,1)=ROUND(Table2!G19,1),"Si","Vérifier!"))</f>
        <v>Si</v>
      </c>
      <c r="H160" s="215"/>
      <c r="I160" s="215"/>
      <c r="J160" s="215"/>
      <c r="K160" s="215"/>
      <c r="L160" s="203" t="str">
        <f>IF(OR(L67="NA",Table2!L19="NA"),"NA",IF(ROUND(L67,1)=ROUND(Table2!L19,1),"Si","Vérificar!"))</f>
        <v>Vérificar!</v>
      </c>
      <c r="M160" s="215"/>
      <c r="N160" s="215"/>
      <c r="O160" s="191"/>
      <c r="P160" s="191"/>
      <c r="Q160" s="191"/>
      <c r="R160" s="487"/>
      <c r="S160" s="487"/>
      <c r="T160" s="487"/>
      <c r="U160" s="487"/>
      <c r="V160" s="487"/>
      <c r="W160" s="487"/>
      <c r="X160" s="487"/>
      <c r="Y160" s="487"/>
      <c r="Z160" s="487"/>
      <c r="AA160" s="487"/>
      <c r="AB160" s="487"/>
      <c r="AC160" s="487"/>
      <c r="AD160" s="487"/>
      <c r="AE160" s="487"/>
    </row>
    <row r="161" spans="2:31" s="103" customFormat="1" ht="10.9" customHeight="1" x14ac:dyDescent="0.15">
      <c r="B161" s="190"/>
      <c r="C161" s="214" t="s">
        <v>3390</v>
      </c>
      <c r="E161" s="215"/>
      <c r="F161" s="215"/>
      <c r="G161" s="203" t="str">
        <f>IF(OR(G71="NA",Table2!G43="NA"),"NA",IF(ROUND(G71,1)=ROUND(Table2!G43,1),"Si","Vérifier!"))</f>
        <v>Si</v>
      </c>
      <c r="H161" s="215"/>
      <c r="I161" s="215"/>
      <c r="J161" s="215"/>
      <c r="K161" s="215"/>
      <c r="L161" s="203" t="str">
        <f>IF(OR(L71="NA",Table2!L43="NA"),"NA",IF(ROUND(L71,1)=ROUND(Table2!L43,1),"Si","Vérificar!"))</f>
        <v>Si</v>
      </c>
      <c r="M161" s="215"/>
      <c r="N161" s="215"/>
      <c r="O161" s="191"/>
      <c r="P161" s="191"/>
      <c r="Q161" s="191"/>
      <c r="R161" s="487"/>
      <c r="S161" s="487"/>
      <c r="T161" s="487"/>
      <c r="U161" s="487"/>
      <c r="V161" s="487"/>
      <c r="W161" s="487"/>
      <c r="X161" s="487"/>
      <c r="Y161" s="487"/>
      <c r="Z161" s="487"/>
      <c r="AA161" s="487"/>
      <c r="AB161" s="487"/>
      <c r="AC161" s="487"/>
      <c r="AD161" s="487"/>
      <c r="AE161" s="487"/>
    </row>
    <row r="162" spans="2:31" s="103" customFormat="1" ht="10.9" customHeight="1" x14ac:dyDescent="0.15">
      <c r="B162" s="190"/>
      <c r="C162" s="214" t="s">
        <v>3391</v>
      </c>
      <c r="E162" s="215"/>
      <c r="F162" s="215"/>
      <c r="G162" s="203" t="str">
        <f>IF(OR(G73="NA",Table2!G14="NA"),"NA",IF(AND(ISNUMBER(G73),ISNUMBER(G14)),IF(ROUND(G73,1)=ROUND(Table2!G14,1),"Si","Vérificar!"),"Vérificar!"))</f>
        <v>Vérificar!</v>
      </c>
      <c r="H162" s="215"/>
      <c r="I162" s="215"/>
      <c r="J162" s="215"/>
      <c r="K162" s="215"/>
      <c r="L162" s="203" t="str">
        <f>IF(OR(L73="NA",Table2!L14="NA"),"NA",IF(AND(ISNUMBER(L73),ISNUMBER(L14)),IF(ROUND(L73,1)=ROUND(Table2!L14,1),"Si","Vérificar!"),"Vérificar!"))</f>
        <v>Vérificar!</v>
      </c>
      <c r="M162" s="215"/>
      <c r="N162" s="215"/>
      <c r="O162" s="191"/>
      <c r="P162" s="191"/>
      <c r="Q162" s="191"/>
      <c r="R162" s="487"/>
      <c r="S162" s="487"/>
      <c r="T162" s="487"/>
      <c r="U162" s="487"/>
      <c r="V162" s="487"/>
      <c r="W162" s="487"/>
      <c r="X162" s="487"/>
      <c r="Y162" s="487"/>
      <c r="Z162" s="487"/>
      <c r="AA162" s="487"/>
      <c r="AB162" s="487"/>
      <c r="AC162" s="487"/>
      <c r="AD162" s="487"/>
      <c r="AE162" s="487"/>
    </row>
    <row r="163" spans="2:31" s="103" customFormat="1" ht="10.9" hidden="1" customHeight="1" x14ac:dyDescent="0.15">
      <c r="B163" s="190"/>
      <c r="C163" s="261" t="s">
        <v>3392</v>
      </c>
      <c r="E163" s="215"/>
      <c r="F163" s="215"/>
      <c r="G163" s="203" t="str">
        <f>IF(OR(G81="NA",Table2!G23="NA"),"NA",IF(ROUND(G81,1)=ROUND(Table2!G23,1),"yes","check!"))</f>
        <v>NA</v>
      </c>
      <c r="H163" s="215"/>
      <c r="I163" s="215"/>
      <c r="J163" s="215"/>
      <c r="K163" s="215"/>
      <c r="L163" s="203" t="str">
        <f>IF(OR(L81="NA",Table2!L23="NA"),"NA",IF(ROUND(L81,1)=ROUND(Table2!L23,1),"yes","check!"))</f>
        <v>NA</v>
      </c>
      <c r="M163" s="215"/>
      <c r="N163" s="215"/>
      <c r="O163" s="191"/>
      <c r="P163" s="191"/>
      <c r="Q163" s="191"/>
      <c r="R163" s="487"/>
      <c r="S163" s="487"/>
      <c r="T163" s="487"/>
      <c r="U163" s="487"/>
      <c r="V163" s="487"/>
      <c r="W163" s="487"/>
      <c r="X163" s="487"/>
      <c r="Y163" s="487"/>
      <c r="Z163" s="487"/>
      <c r="AA163" s="487"/>
      <c r="AB163" s="487"/>
      <c r="AC163" s="487"/>
      <c r="AD163" s="487"/>
      <c r="AE163" s="487"/>
    </row>
    <row r="164" spans="2:31" s="103" customFormat="1" ht="10.9" customHeight="1" x14ac:dyDescent="0.15">
      <c r="B164" s="217"/>
      <c r="C164" s="77"/>
      <c r="D164" s="77"/>
      <c r="E164" s="219"/>
      <c r="F164" s="219"/>
      <c r="G164" s="219"/>
      <c r="H164" s="219"/>
      <c r="I164" s="219"/>
      <c r="J164" s="219"/>
      <c r="K164" s="219"/>
      <c r="L164" s="219"/>
      <c r="M164" s="219"/>
      <c r="N164" s="219"/>
      <c r="O164" s="260"/>
      <c r="P164" s="260"/>
      <c r="Q164" s="191"/>
      <c r="R164" s="487"/>
      <c r="S164" s="487"/>
      <c r="T164" s="487"/>
      <c r="U164" s="487"/>
      <c r="V164" s="487"/>
      <c r="W164" s="487"/>
      <c r="X164" s="487"/>
      <c r="Y164" s="487"/>
      <c r="Z164" s="487"/>
      <c r="AA164" s="487"/>
      <c r="AB164" s="487"/>
      <c r="AC164" s="487"/>
      <c r="AD164" s="487"/>
      <c r="AE164" s="487"/>
    </row>
    <row r="165" spans="2:31" s="103" customFormat="1" ht="10.9" customHeight="1" x14ac:dyDescent="0.15">
      <c r="B165" s="190"/>
      <c r="E165" s="220"/>
      <c r="F165" s="220"/>
      <c r="G165" s="220"/>
      <c r="H165" s="220"/>
      <c r="I165" s="220"/>
      <c r="J165" s="220"/>
      <c r="K165" s="220"/>
      <c r="L165" s="220"/>
      <c r="M165" s="220"/>
      <c r="N165" s="220"/>
      <c r="O165" s="220"/>
      <c r="P165" s="220"/>
      <c r="R165" s="487"/>
      <c r="S165" s="487"/>
      <c r="T165" s="487"/>
      <c r="U165" s="487"/>
      <c r="V165" s="487"/>
      <c r="W165" s="487"/>
      <c r="X165" s="487"/>
      <c r="Y165" s="487"/>
      <c r="Z165" s="487"/>
      <c r="AA165" s="487"/>
      <c r="AB165" s="487"/>
      <c r="AC165" s="487"/>
      <c r="AD165" s="487"/>
      <c r="AE165" s="487"/>
    </row>
    <row r="166" spans="2:31" s="103" customFormat="1" ht="10.9" customHeight="1" x14ac:dyDescent="0.15">
      <c r="B166" s="190"/>
      <c r="E166" s="220"/>
      <c r="F166" s="220"/>
      <c r="G166" s="235"/>
      <c r="H166" s="235"/>
      <c r="I166" s="235"/>
      <c r="J166" s="235"/>
      <c r="K166" s="220"/>
      <c r="L166" s="220"/>
      <c r="M166" s="220"/>
      <c r="N166" s="220"/>
      <c r="O166" s="220"/>
      <c r="P166" s="220"/>
      <c r="R166" s="487"/>
      <c r="S166" s="487"/>
      <c r="T166" s="487"/>
      <c r="U166" s="487"/>
      <c r="V166" s="487"/>
      <c r="W166" s="487"/>
      <c r="X166" s="487"/>
      <c r="Y166" s="487"/>
      <c r="Z166" s="487"/>
      <c r="AA166" s="487"/>
      <c r="AB166" s="487"/>
      <c r="AC166" s="487"/>
      <c r="AD166" s="487"/>
      <c r="AE166" s="487"/>
    </row>
    <row r="167" spans="2:31" s="103" customFormat="1" ht="10.9" customHeight="1" x14ac:dyDescent="0.15">
      <c r="B167" s="190"/>
      <c r="E167" s="220"/>
      <c r="F167" s="220"/>
      <c r="G167" s="235"/>
      <c r="H167" s="235"/>
      <c r="I167" s="235"/>
      <c r="J167" s="235"/>
      <c r="K167" s="220"/>
      <c r="L167" s="220"/>
      <c r="M167" s="220"/>
      <c r="N167" s="220"/>
      <c r="O167" s="220"/>
      <c r="P167" s="220"/>
      <c r="R167" s="487"/>
      <c r="S167" s="487"/>
      <c r="T167" s="487"/>
      <c r="U167" s="487"/>
      <c r="V167" s="487"/>
      <c r="W167" s="487"/>
      <c r="X167" s="487"/>
      <c r="Y167" s="487"/>
      <c r="Z167" s="487"/>
      <c r="AA167" s="487"/>
      <c r="AB167" s="487"/>
      <c r="AC167" s="487"/>
      <c r="AD167" s="487"/>
      <c r="AE167" s="487"/>
    </row>
    <row r="168" spans="2:31" s="103" customFormat="1" ht="10.9" customHeight="1" x14ac:dyDescent="0.15">
      <c r="B168" s="190"/>
      <c r="E168" s="220"/>
      <c r="F168" s="220"/>
      <c r="G168" s="235"/>
      <c r="H168" s="235"/>
      <c r="I168" s="235"/>
      <c r="J168" s="235"/>
      <c r="K168" s="220"/>
      <c r="L168" s="220"/>
      <c r="M168" s="220"/>
      <c r="N168" s="220"/>
      <c r="O168" s="220"/>
      <c r="P168" s="220"/>
      <c r="R168" s="487"/>
      <c r="S168" s="487"/>
      <c r="T168" s="487"/>
      <c r="U168" s="487"/>
      <c r="V168" s="487"/>
      <c r="W168" s="487"/>
      <c r="X168" s="487"/>
      <c r="Y168" s="487"/>
      <c r="Z168" s="487"/>
      <c r="AA168" s="487"/>
      <c r="AB168" s="487"/>
      <c r="AC168" s="487"/>
      <c r="AD168" s="487"/>
      <c r="AE168" s="487"/>
    </row>
    <row r="169" spans="2:31" s="103" customFormat="1" ht="10.9" customHeight="1" x14ac:dyDescent="0.15">
      <c r="B169" s="190"/>
      <c r="E169" s="220"/>
      <c r="F169" s="220"/>
      <c r="G169" s="235"/>
      <c r="H169" s="235"/>
      <c r="I169" s="235"/>
      <c r="J169" s="235"/>
      <c r="K169" s="220"/>
      <c r="L169" s="220"/>
      <c r="M169" s="220"/>
      <c r="N169" s="220"/>
      <c r="O169" s="220"/>
      <c r="P169" s="220"/>
      <c r="R169" s="487"/>
      <c r="S169" s="487"/>
      <c r="T169" s="487"/>
      <c r="U169" s="487"/>
      <c r="V169" s="487"/>
      <c r="W169" s="487"/>
      <c r="X169" s="487"/>
      <c r="Y169" s="487"/>
      <c r="Z169" s="487"/>
      <c r="AA169" s="487"/>
      <c r="AB169" s="487"/>
      <c r="AC169" s="487"/>
      <c r="AD169" s="487"/>
      <c r="AE169" s="487"/>
    </row>
    <row r="170" spans="2:31" s="103" customFormat="1" ht="10.9" customHeight="1" x14ac:dyDescent="0.15">
      <c r="B170" s="190"/>
      <c r="E170" s="220"/>
      <c r="F170" s="220"/>
      <c r="G170" s="220"/>
      <c r="H170" s="235"/>
      <c r="I170" s="235"/>
      <c r="J170" s="235"/>
      <c r="K170" s="220"/>
      <c r="L170" s="220"/>
      <c r="M170" s="220"/>
      <c r="N170" s="220"/>
      <c r="O170" s="220"/>
      <c r="P170" s="220"/>
      <c r="R170" s="487"/>
      <c r="S170" s="487"/>
      <c r="T170" s="487"/>
      <c r="U170" s="487"/>
      <c r="V170" s="487"/>
      <c r="W170" s="487"/>
      <c r="X170" s="487"/>
      <c r="Y170" s="487"/>
      <c r="Z170" s="487"/>
      <c r="AA170" s="487"/>
      <c r="AB170" s="487"/>
      <c r="AC170" s="487"/>
      <c r="AD170" s="487"/>
      <c r="AE170" s="487"/>
    </row>
    <row r="171" spans="2:31" s="103" customFormat="1" ht="10.9" customHeight="1" x14ac:dyDescent="0.15">
      <c r="B171" s="190"/>
      <c r="E171" s="220"/>
      <c r="F171" s="220"/>
      <c r="G171" s="220"/>
      <c r="H171" s="220"/>
      <c r="I171" s="220"/>
      <c r="J171" s="220"/>
      <c r="K171" s="220"/>
      <c r="L171" s="220"/>
      <c r="M171" s="220"/>
      <c r="N171" s="220"/>
      <c r="O171" s="220"/>
      <c r="P171" s="220"/>
      <c r="R171" s="487"/>
      <c r="S171" s="487"/>
      <c r="T171" s="487"/>
      <c r="U171" s="487"/>
      <c r="V171" s="487"/>
      <c r="W171" s="487"/>
      <c r="X171" s="487"/>
      <c r="Y171" s="487"/>
      <c r="Z171" s="487"/>
      <c r="AA171" s="487"/>
      <c r="AB171" s="487"/>
      <c r="AC171" s="487"/>
      <c r="AD171" s="487"/>
      <c r="AE171" s="487"/>
    </row>
    <row r="172" spans="2:31" s="103" customFormat="1" ht="10.9" customHeight="1" x14ac:dyDescent="0.15">
      <c r="B172" s="190"/>
      <c r="E172" s="220"/>
      <c r="F172" s="220"/>
      <c r="G172" s="220"/>
      <c r="H172" s="220"/>
      <c r="I172" s="220"/>
      <c r="J172" s="220"/>
      <c r="K172" s="220"/>
      <c r="L172" s="220"/>
      <c r="M172" s="220"/>
      <c r="N172" s="220"/>
      <c r="O172" s="220"/>
      <c r="P172" s="220"/>
      <c r="R172" s="487"/>
      <c r="S172" s="487"/>
      <c r="T172" s="487"/>
      <c r="U172" s="487"/>
      <c r="V172" s="487"/>
      <c r="W172" s="487"/>
      <c r="X172" s="487"/>
      <c r="Y172" s="487"/>
      <c r="Z172" s="487"/>
      <c r="AA172" s="487"/>
      <c r="AB172" s="487"/>
      <c r="AC172" s="487"/>
      <c r="AD172" s="487"/>
      <c r="AE172" s="487"/>
    </row>
    <row r="173" spans="2:31" s="103" customFormat="1" ht="10.9" customHeight="1" x14ac:dyDescent="0.15">
      <c r="B173" s="190"/>
      <c r="E173" s="220"/>
      <c r="F173" s="220"/>
      <c r="G173" s="220"/>
      <c r="H173" s="220"/>
      <c r="I173" s="220"/>
      <c r="J173" s="220"/>
      <c r="K173" s="220"/>
      <c r="L173" s="220"/>
      <c r="M173" s="220"/>
      <c r="N173" s="220"/>
      <c r="O173" s="220"/>
      <c r="P173" s="220"/>
      <c r="R173" s="487"/>
      <c r="S173" s="487"/>
      <c r="T173" s="487"/>
      <c r="U173" s="487"/>
      <c r="V173" s="487"/>
      <c r="W173" s="487"/>
      <c r="X173" s="487"/>
      <c r="Y173" s="487"/>
      <c r="Z173" s="487"/>
      <c r="AA173" s="487"/>
      <c r="AB173" s="487"/>
      <c r="AC173" s="487"/>
      <c r="AD173" s="487"/>
      <c r="AE173" s="487"/>
    </row>
    <row r="174" spans="2:31" s="103" customFormat="1" ht="10.9" customHeight="1" x14ac:dyDescent="0.15">
      <c r="B174" s="190"/>
      <c r="E174" s="220"/>
      <c r="F174" s="220"/>
      <c r="G174" s="220"/>
      <c r="H174" s="220"/>
      <c r="I174" s="220"/>
      <c r="J174" s="220"/>
      <c r="K174" s="220"/>
      <c r="L174" s="220"/>
      <c r="M174" s="220"/>
      <c r="N174" s="220"/>
      <c r="O174" s="220"/>
      <c r="P174" s="220"/>
      <c r="R174" s="487"/>
      <c r="S174" s="487"/>
      <c r="T174" s="487"/>
      <c r="U174" s="487"/>
      <c r="V174" s="487"/>
      <c r="W174" s="487"/>
      <c r="X174" s="487"/>
      <c r="Y174" s="487"/>
      <c r="Z174" s="487"/>
      <c r="AA174" s="487"/>
      <c r="AB174" s="487"/>
      <c r="AC174" s="487"/>
      <c r="AD174" s="487"/>
      <c r="AE174" s="487"/>
    </row>
    <row r="175" spans="2:31" s="103" customFormat="1" ht="10.9" customHeight="1" x14ac:dyDescent="0.15">
      <c r="B175" s="190"/>
      <c r="E175" s="220"/>
      <c r="F175" s="220"/>
      <c r="G175" s="220"/>
      <c r="H175" s="220"/>
      <c r="I175" s="220"/>
      <c r="J175" s="220"/>
      <c r="K175" s="220"/>
      <c r="L175" s="220"/>
      <c r="M175" s="220"/>
      <c r="N175" s="220"/>
      <c r="O175" s="220"/>
      <c r="P175" s="220"/>
      <c r="R175" s="487"/>
      <c r="S175" s="487"/>
      <c r="T175" s="487"/>
      <c r="U175" s="487"/>
      <c r="V175" s="487"/>
      <c r="W175" s="487"/>
      <c r="X175" s="487"/>
      <c r="Y175" s="487"/>
      <c r="Z175" s="487"/>
      <c r="AA175" s="487"/>
      <c r="AB175" s="487"/>
      <c r="AC175" s="487"/>
      <c r="AD175" s="487"/>
      <c r="AE175" s="487"/>
    </row>
    <row r="176" spans="2:31" s="103" customFormat="1" ht="10.9" customHeight="1" x14ac:dyDescent="0.15">
      <c r="B176" s="190"/>
      <c r="E176" s="220"/>
      <c r="F176" s="220"/>
      <c r="G176" s="220"/>
      <c r="H176" s="220"/>
      <c r="I176" s="220"/>
      <c r="J176" s="220"/>
      <c r="K176" s="220"/>
      <c r="L176" s="220"/>
      <c r="M176" s="220"/>
      <c r="N176" s="220"/>
      <c r="O176" s="220"/>
      <c r="P176" s="220"/>
      <c r="R176" s="487"/>
      <c r="S176" s="487"/>
      <c r="T176" s="487"/>
      <c r="U176" s="487"/>
      <c r="V176" s="487"/>
      <c r="W176" s="487"/>
      <c r="X176" s="487"/>
      <c r="Y176" s="487"/>
      <c r="Z176" s="487"/>
      <c r="AA176" s="487"/>
      <c r="AB176" s="487"/>
      <c r="AC176" s="487"/>
      <c r="AD176" s="487"/>
      <c r="AE176" s="487"/>
    </row>
    <row r="177" spans="2:31" s="103" customFormat="1" ht="10.9" customHeight="1" x14ac:dyDescent="0.15">
      <c r="B177" s="190"/>
      <c r="E177" s="220"/>
      <c r="F177" s="220"/>
      <c r="G177" s="220"/>
      <c r="H177" s="220"/>
      <c r="I177" s="220"/>
      <c r="J177" s="220"/>
      <c r="K177" s="220"/>
      <c r="L177" s="220"/>
      <c r="M177" s="220"/>
      <c r="N177" s="220"/>
      <c r="O177" s="220"/>
      <c r="P177" s="220"/>
      <c r="R177" s="487"/>
      <c r="S177" s="487"/>
      <c r="T177" s="487"/>
      <c r="U177" s="487"/>
      <c r="V177" s="487"/>
      <c r="W177" s="487"/>
      <c r="X177" s="487"/>
      <c r="Y177" s="487"/>
      <c r="Z177" s="487"/>
      <c r="AA177" s="487"/>
      <c r="AB177" s="487"/>
      <c r="AC177" s="487"/>
      <c r="AD177" s="487"/>
      <c r="AE177" s="487"/>
    </row>
    <row r="178" spans="2:31" s="103" customFormat="1" ht="10.9" customHeight="1" x14ac:dyDescent="0.15">
      <c r="B178" s="190"/>
      <c r="E178" s="220"/>
      <c r="F178" s="220"/>
      <c r="G178" s="220"/>
      <c r="H178" s="220"/>
      <c r="I178" s="220"/>
      <c r="J178" s="220"/>
      <c r="K178" s="220"/>
      <c r="L178" s="220"/>
      <c r="M178" s="220"/>
      <c r="N178" s="220"/>
      <c r="O178" s="220"/>
      <c r="P178" s="220"/>
      <c r="R178" s="487"/>
      <c r="S178" s="487"/>
      <c r="T178" s="487"/>
      <c r="U178" s="487"/>
      <c r="V178" s="487"/>
      <c r="W178" s="487"/>
      <c r="X178" s="487"/>
      <c r="Y178" s="487"/>
      <c r="Z178" s="487"/>
      <c r="AA178" s="487"/>
      <c r="AB178" s="487"/>
      <c r="AC178" s="487"/>
      <c r="AD178" s="487"/>
      <c r="AE178" s="487"/>
    </row>
    <row r="179" spans="2:31" s="103" customFormat="1" ht="10.9" customHeight="1" x14ac:dyDescent="0.15">
      <c r="B179" s="190"/>
      <c r="E179" s="220"/>
      <c r="F179" s="220"/>
      <c r="G179" s="220"/>
      <c r="H179" s="220"/>
      <c r="I179" s="220"/>
      <c r="J179" s="220"/>
      <c r="K179" s="220"/>
      <c r="L179" s="220"/>
      <c r="M179" s="220"/>
      <c r="N179" s="220"/>
      <c r="O179" s="220"/>
      <c r="P179" s="220"/>
      <c r="R179" s="487"/>
      <c r="S179" s="487"/>
      <c r="T179" s="487"/>
      <c r="U179" s="487"/>
      <c r="V179" s="487"/>
      <c r="W179" s="487"/>
      <c r="X179" s="487"/>
      <c r="Y179" s="487"/>
      <c r="Z179" s="487"/>
      <c r="AA179" s="487"/>
      <c r="AB179" s="487"/>
      <c r="AC179" s="487"/>
      <c r="AD179" s="487"/>
      <c r="AE179" s="487"/>
    </row>
    <row r="180" spans="2:31" s="103" customFormat="1" ht="10.9" customHeight="1" x14ac:dyDescent="0.15">
      <c r="B180" s="190"/>
      <c r="E180" s="220"/>
      <c r="F180" s="220"/>
      <c r="G180" s="220"/>
      <c r="H180" s="220"/>
      <c r="I180" s="220"/>
      <c r="J180" s="220"/>
      <c r="K180" s="220"/>
      <c r="L180" s="220"/>
      <c r="M180" s="220"/>
      <c r="N180" s="220"/>
      <c r="O180" s="220"/>
      <c r="P180" s="220"/>
      <c r="R180" s="487"/>
      <c r="S180" s="487"/>
      <c r="T180" s="487"/>
      <c r="U180" s="487"/>
      <c r="V180" s="487"/>
      <c r="W180" s="487"/>
      <c r="X180" s="487"/>
      <c r="Y180" s="487"/>
      <c r="Z180" s="487"/>
      <c r="AA180" s="487"/>
      <c r="AB180" s="487"/>
      <c r="AC180" s="487"/>
      <c r="AD180" s="487"/>
      <c r="AE180" s="487"/>
    </row>
    <row r="181" spans="2:31" s="103" customFormat="1" ht="10.9" customHeight="1" x14ac:dyDescent="0.15">
      <c r="B181" s="190"/>
      <c r="R181" s="487"/>
      <c r="S181" s="487"/>
      <c r="T181" s="487"/>
      <c r="U181" s="487"/>
      <c r="V181" s="487"/>
      <c r="W181" s="487"/>
      <c r="X181" s="487"/>
      <c r="Y181" s="487"/>
      <c r="Z181" s="487"/>
      <c r="AA181" s="487"/>
      <c r="AB181" s="487"/>
      <c r="AC181" s="487"/>
      <c r="AD181" s="487"/>
      <c r="AE181" s="487"/>
    </row>
    <row r="182" spans="2:31" s="103" customFormat="1" ht="10.9" customHeight="1" x14ac:dyDescent="0.15">
      <c r="B182" s="190"/>
      <c r="R182" s="487"/>
      <c r="S182" s="487"/>
      <c r="T182" s="487"/>
      <c r="U182" s="487"/>
      <c r="V182" s="487"/>
      <c r="W182" s="487"/>
      <c r="X182" s="487"/>
      <c r="Y182" s="487"/>
      <c r="Z182" s="487"/>
      <c r="AA182" s="487"/>
      <c r="AB182" s="487"/>
      <c r="AC182" s="487"/>
      <c r="AD182" s="487"/>
      <c r="AE182" s="487"/>
    </row>
    <row r="183" spans="2:31" s="103" customFormat="1" ht="10.9" customHeight="1" x14ac:dyDescent="0.15">
      <c r="B183" s="190"/>
      <c r="R183" s="487"/>
      <c r="S183" s="487"/>
      <c r="T183" s="487"/>
      <c r="U183" s="487"/>
      <c r="V183" s="487"/>
      <c r="W183" s="487"/>
      <c r="X183" s="487"/>
      <c r="Y183" s="487"/>
      <c r="Z183" s="487"/>
      <c r="AA183" s="487"/>
      <c r="AB183" s="487"/>
      <c r="AC183" s="487"/>
      <c r="AD183" s="487"/>
      <c r="AE183" s="487"/>
    </row>
    <row r="184" spans="2:31" s="103" customFormat="1" ht="10.9" customHeight="1" x14ac:dyDescent="0.15">
      <c r="B184" s="190"/>
      <c r="R184" s="487"/>
      <c r="S184" s="487"/>
      <c r="T184" s="487"/>
      <c r="U184" s="487"/>
      <c r="V184" s="487"/>
      <c r="W184" s="487"/>
      <c r="X184" s="487"/>
      <c r="Y184" s="487"/>
      <c r="Z184" s="487"/>
      <c r="AA184" s="487"/>
      <c r="AB184" s="487"/>
      <c r="AC184" s="487"/>
      <c r="AD184" s="487"/>
      <c r="AE184" s="487"/>
    </row>
    <row r="185" spans="2:31" s="103" customFormat="1" ht="10.9" customHeight="1" x14ac:dyDescent="0.15">
      <c r="B185" s="190"/>
      <c r="R185" s="487"/>
      <c r="S185" s="487"/>
      <c r="T185" s="487"/>
      <c r="U185" s="487"/>
      <c r="V185" s="487"/>
      <c r="W185" s="487"/>
      <c r="X185" s="487"/>
      <c r="Y185" s="487"/>
      <c r="Z185" s="487"/>
      <c r="AA185" s="487"/>
      <c r="AB185" s="487"/>
      <c r="AC185" s="487"/>
      <c r="AD185" s="487"/>
      <c r="AE185" s="487"/>
    </row>
    <row r="186" spans="2:31" s="103" customFormat="1" ht="10.9" customHeight="1" x14ac:dyDescent="0.15">
      <c r="B186" s="190"/>
      <c r="R186" s="487"/>
      <c r="S186" s="487"/>
      <c r="T186" s="487"/>
      <c r="U186" s="487"/>
      <c r="V186" s="487"/>
      <c r="W186" s="487"/>
      <c r="X186" s="487"/>
      <c r="Y186" s="487"/>
      <c r="Z186" s="487"/>
      <c r="AA186" s="487"/>
      <c r="AB186" s="487"/>
      <c r="AC186" s="487"/>
      <c r="AD186" s="487"/>
      <c r="AE186" s="487"/>
    </row>
    <row r="187" spans="2:31" s="103" customFormat="1" ht="10.9" customHeight="1" x14ac:dyDescent="0.15">
      <c r="B187" s="190"/>
      <c r="R187" s="487"/>
      <c r="S187" s="487"/>
      <c r="T187" s="487"/>
      <c r="U187" s="487"/>
      <c r="V187" s="487"/>
      <c r="W187" s="487"/>
      <c r="X187" s="487"/>
      <c r="Y187" s="487"/>
      <c r="Z187" s="487"/>
      <c r="AA187" s="487"/>
      <c r="AB187" s="487"/>
      <c r="AC187" s="487"/>
      <c r="AD187" s="487"/>
      <c r="AE187" s="487"/>
    </row>
    <row r="188" spans="2:31" s="103" customFormat="1" ht="10.9" customHeight="1" x14ac:dyDescent="0.15">
      <c r="B188" s="190"/>
      <c r="R188" s="487"/>
      <c r="S188" s="487"/>
      <c r="T188" s="487"/>
      <c r="U188" s="487"/>
      <c r="V188" s="487"/>
      <c r="W188" s="487"/>
      <c r="X188" s="487"/>
      <c r="Y188" s="487"/>
      <c r="Z188" s="487"/>
      <c r="AA188" s="487"/>
      <c r="AB188" s="487"/>
      <c r="AC188" s="487"/>
      <c r="AD188" s="487"/>
      <c r="AE188" s="487"/>
    </row>
    <row r="189" spans="2:31" s="103" customFormat="1" ht="10.9" customHeight="1" x14ac:dyDescent="0.15">
      <c r="B189" s="190"/>
      <c r="R189" s="487"/>
      <c r="S189" s="487"/>
      <c r="T189" s="487"/>
      <c r="U189" s="487"/>
      <c r="V189" s="487"/>
      <c r="W189" s="487"/>
      <c r="X189" s="487"/>
      <c r="Y189" s="487"/>
      <c r="Z189" s="487"/>
      <c r="AA189" s="487"/>
      <c r="AB189" s="487"/>
      <c r="AC189" s="487"/>
      <c r="AD189" s="487"/>
      <c r="AE189" s="487"/>
    </row>
    <row r="190" spans="2:31" s="103" customFormat="1" ht="10.9" customHeight="1" x14ac:dyDescent="0.15">
      <c r="B190" s="190"/>
      <c r="R190" s="487"/>
      <c r="S190" s="487"/>
      <c r="T190" s="487"/>
      <c r="U190" s="487"/>
      <c r="V190" s="487"/>
      <c r="W190" s="487"/>
      <c r="X190" s="487"/>
      <c r="Y190" s="487"/>
      <c r="Z190" s="487"/>
      <c r="AA190" s="487"/>
      <c r="AB190" s="487"/>
      <c r="AC190" s="487"/>
      <c r="AD190" s="487"/>
      <c r="AE190" s="487"/>
    </row>
    <row r="191" spans="2:31" s="103" customFormat="1" ht="10.9" customHeight="1" x14ac:dyDescent="0.15">
      <c r="B191" s="190"/>
      <c r="R191" s="487"/>
      <c r="S191" s="487"/>
      <c r="T191" s="487"/>
      <c r="U191" s="487"/>
      <c r="V191" s="487"/>
      <c r="W191" s="487"/>
      <c r="X191" s="487"/>
      <c r="Y191" s="487"/>
      <c r="Z191" s="487"/>
      <c r="AA191" s="487"/>
      <c r="AB191" s="487"/>
      <c r="AC191" s="487"/>
      <c r="AD191" s="487"/>
      <c r="AE191" s="487"/>
    </row>
    <row r="192" spans="2:31" s="103" customFormat="1" ht="10.9" customHeight="1" x14ac:dyDescent="0.15">
      <c r="B192" s="190"/>
      <c r="R192" s="487"/>
      <c r="S192" s="487"/>
      <c r="T192" s="487"/>
      <c r="U192" s="487"/>
      <c r="V192" s="487"/>
      <c r="W192" s="487"/>
      <c r="X192" s="487"/>
      <c r="Y192" s="487"/>
      <c r="Z192" s="487"/>
      <c r="AA192" s="487"/>
      <c r="AB192" s="487"/>
      <c r="AC192" s="487"/>
      <c r="AD192" s="487"/>
      <c r="AE192" s="487"/>
    </row>
    <row r="193" spans="2:31" s="103" customFormat="1" ht="10.9" customHeight="1" x14ac:dyDescent="0.15">
      <c r="B193" s="190"/>
      <c r="R193" s="487"/>
      <c r="S193" s="487"/>
      <c r="T193" s="487"/>
      <c r="U193" s="487"/>
      <c r="V193" s="487"/>
      <c r="W193" s="487"/>
      <c r="X193" s="487"/>
      <c r="Y193" s="487"/>
      <c r="Z193" s="487"/>
      <c r="AA193" s="487"/>
      <c r="AB193" s="487"/>
      <c r="AC193" s="487"/>
      <c r="AD193" s="487"/>
      <c r="AE193" s="487"/>
    </row>
    <row r="194" spans="2:31" s="103" customFormat="1" ht="10.9" customHeight="1" x14ac:dyDescent="0.15">
      <c r="B194" s="190"/>
      <c r="R194" s="487"/>
      <c r="S194" s="487"/>
      <c r="T194" s="487"/>
      <c r="U194" s="487"/>
      <c r="V194" s="487"/>
      <c r="W194" s="487"/>
      <c r="X194" s="487"/>
      <c r="Y194" s="487"/>
      <c r="Z194" s="487"/>
      <c r="AA194" s="487"/>
      <c r="AB194" s="487"/>
      <c r="AC194" s="487"/>
      <c r="AD194" s="487"/>
      <c r="AE194" s="487"/>
    </row>
    <row r="195" spans="2:31" s="103" customFormat="1" ht="10.9" customHeight="1" x14ac:dyDescent="0.15">
      <c r="B195" s="190"/>
      <c r="R195" s="487"/>
      <c r="S195" s="487"/>
      <c r="T195" s="487"/>
      <c r="U195" s="487"/>
      <c r="V195" s="487"/>
      <c r="W195" s="487"/>
      <c r="X195" s="487"/>
      <c r="Y195" s="487"/>
      <c r="Z195" s="487"/>
      <c r="AA195" s="487"/>
      <c r="AB195" s="487"/>
      <c r="AC195" s="487"/>
      <c r="AD195" s="487"/>
      <c r="AE195" s="487"/>
    </row>
    <row r="196" spans="2:31" s="103" customFormat="1" ht="10.9" customHeight="1" x14ac:dyDescent="0.15">
      <c r="B196" s="190"/>
      <c r="R196" s="487"/>
      <c r="S196" s="487"/>
      <c r="T196" s="487"/>
      <c r="U196" s="487"/>
      <c r="V196" s="487"/>
      <c r="W196" s="487"/>
      <c r="X196" s="487"/>
      <c r="Y196" s="487"/>
      <c r="Z196" s="487"/>
      <c r="AA196" s="487"/>
      <c r="AB196" s="487"/>
      <c r="AC196" s="487"/>
      <c r="AD196" s="487"/>
      <c r="AE196" s="487"/>
    </row>
    <row r="197" spans="2:31" s="103" customFormat="1" ht="10.9" customHeight="1" x14ac:dyDescent="0.15">
      <c r="B197" s="190"/>
      <c r="R197" s="487"/>
      <c r="S197" s="487"/>
      <c r="T197" s="487"/>
      <c r="U197" s="487"/>
      <c r="V197" s="487"/>
      <c r="W197" s="487"/>
      <c r="X197" s="487"/>
      <c r="Y197" s="487"/>
      <c r="Z197" s="487"/>
      <c r="AA197" s="487"/>
      <c r="AB197" s="487"/>
      <c r="AC197" s="487"/>
      <c r="AD197" s="487"/>
      <c r="AE197" s="487"/>
    </row>
    <row r="198" spans="2:31" s="103" customFormat="1" ht="10.9" customHeight="1" x14ac:dyDescent="0.15">
      <c r="B198" s="190"/>
      <c r="R198" s="487"/>
      <c r="S198" s="487"/>
      <c r="T198" s="487"/>
      <c r="U198" s="487"/>
      <c r="V198" s="487"/>
      <c r="W198" s="487"/>
      <c r="X198" s="487"/>
      <c r="Y198" s="487"/>
      <c r="Z198" s="487"/>
      <c r="AA198" s="487"/>
      <c r="AB198" s="487"/>
      <c r="AC198" s="487"/>
      <c r="AD198" s="487"/>
      <c r="AE198" s="487"/>
    </row>
    <row r="199" spans="2:31" s="103" customFormat="1" ht="10.9" customHeight="1" x14ac:dyDescent="0.15">
      <c r="B199" s="190"/>
      <c r="R199" s="487"/>
      <c r="S199" s="487"/>
      <c r="T199" s="487"/>
      <c r="U199" s="487"/>
      <c r="V199" s="487"/>
      <c r="W199" s="487"/>
      <c r="X199" s="487"/>
      <c r="Y199" s="487"/>
      <c r="Z199" s="487"/>
      <c r="AA199" s="487"/>
      <c r="AB199" s="487"/>
      <c r="AC199" s="487"/>
      <c r="AD199" s="487"/>
      <c r="AE199" s="487"/>
    </row>
    <row r="200" spans="2:31" s="103" customFormat="1" ht="10.9" customHeight="1" x14ac:dyDescent="0.15">
      <c r="B200" s="190"/>
      <c r="R200" s="487"/>
      <c r="S200" s="487"/>
      <c r="T200" s="487"/>
      <c r="U200" s="487"/>
      <c r="V200" s="487"/>
      <c r="W200" s="487"/>
      <c r="X200" s="487"/>
      <c r="Y200" s="487"/>
      <c r="Z200" s="487"/>
      <c r="AA200" s="487"/>
      <c r="AB200" s="487"/>
      <c r="AC200" s="487"/>
      <c r="AD200" s="487"/>
      <c r="AE200" s="487"/>
    </row>
    <row r="201" spans="2:31" s="103" customFormat="1" ht="10.9" customHeight="1" x14ac:dyDescent="0.15">
      <c r="B201" s="190"/>
      <c r="R201" s="487"/>
      <c r="S201" s="487"/>
      <c r="T201" s="487"/>
      <c r="U201" s="487"/>
      <c r="V201" s="487"/>
      <c r="W201" s="487"/>
      <c r="X201" s="487"/>
      <c r="Y201" s="487"/>
      <c r="Z201" s="487"/>
      <c r="AA201" s="487"/>
      <c r="AB201" s="487"/>
      <c r="AC201" s="487"/>
      <c r="AD201" s="487"/>
      <c r="AE201" s="487"/>
    </row>
    <row r="202" spans="2:31" s="103" customFormat="1" ht="10.9" customHeight="1" x14ac:dyDescent="0.15">
      <c r="B202" s="190"/>
      <c r="R202" s="487"/>
      <c r="S202" s="487"/>
      <c r="T202" s="487"/>
      <c r="U202" s="487"/>
      <c r="V202" s="487"/>
      <c r="W202" s="487"/>
      <c r="X202" s="487"/>
      <c r="Y202" s="487"/>
      <c r="Z202" s="487"/>
      <c r="AA202" s="487"/>
      <c r="AB202" s="487"/>
      <c r="AC202" s="487"/>
      <c r="AD202" s="487"/>
      <c r="AE202" s="487"/>
    </row>
    <row r="203" spans="2:31" s="103" customFormat="1" ht="10.9" customHeight="1" x14ac:dyDescent="0.15">
      <c r="B203" s="190"/>
      <c r="R203" s="487"/>
      <c r="S203" s="487"/>
      <c r="T203" s="487"/>
      <c r="U203" s="487"/>
      <c r="V203" s="487"/>
      <c r="W203" s="487"/>
      <c r="X203" s="487"/>
      <c r="Y203" s="487"/>
      <c r="Z203" s="487"/>
      <c r="AA203" s="487"/>
      <c r="AB203" s="487"/>
      <c r="AC203" s="487"/>
      <c r="AD203" s="487"/>
      <c r="AE203" s="487"/>
    </row>
    <row r="204" spans="2:31" s="103" customFormat="1" ht="10.9" customHeight="1" x14ac:dyDescent="0.15">
      <c r="B204" s="190"/>
      <c r="R204" s="487"/>
      <c r="S204" s="487"/>
      <c r="T204" s="487"/>
      <c r="U204" s="487"/>
      <c r="V204" s="487"/>
      <c r="W204" s="487"/>
      <c r="X204" s="487"/>
      <c r="Y204" s="487"/>
      <c r="Z204" s="487"/>
      <c r="AA204" s="487"/>
      <c r="AB204" s="487"/>
      <c r="AC204" s="487"/>
      <c r="AD204" s="487"/>
      <c r="AE204" s="487"/>
    </row>
    <row r="205" spans="2:31" s="103" customFormat="1" ht="10.9" customHeight="1" x14ac:dyDescent="0.15">
      <c r="B205" s="190"/>
      <c r="R205" s="487"/>
      <c r="S205" s="487"/>
      <c r="T205" s="487"/>
      <c r="U205" s="487"/>
      <c r="V205" s="487"/>
      <c r="W205" s="487"/>
      <c r="X205" s="487"/>
      <c r="Y205" s="487"/>
      <c r="Z205" s="487"/>
      <c r="AA205" s="487"/>
      <c r="AB205" s="487"/>
      <c r="AC205" s="487"/>
      <c r="AD205" s="487"/>
      <c r="AE205" s="487"/>
    </row>
    <row r="206" spans="2:31" s="103" customFormat="1" ht="10.9" customHeight="1" x14ac:dyDescent="0.15">
      <c r="B206" s="190"/>
      <c r="R206" s="487"/>
      <c r="S206" s="487"/>
      <c r="T206" s="487"/>
      <c r="U206" s="487"/>
      <c r="V206" s="487"/>
      <c r="W206" s="487"/>
      <c r="X206" s="487"/>
      <c r="Y206" s="487"/>
      <c r="Z206" s="487"/>
      <c r="AA206" s="487"/>
      <c r="AB206" s="487"/>
      <c r="AC206" s="487"/>
      <c r="AD206" s="487"/>
      <c r="AE206" s="487"/>
    </row>
    <row r="207" spans="2:31" s="103" customFormat="1" ht="10.9" customHeight="1" x14ac:dyDescent="0.15">
      <c r="B207" s="190"/>
      <c r="R207" s="487"/>
      <c r="S207" s="487"/>
      <c r="T207" s="487"/>
      <c r="U207" s="487"/>
      <c r="V207" s="487"/>
      <c r="W207" s="487"/>
      <c r="X207" s="487"/>
      <c r="Y207" s="487"/>
      <c r="Z207" s="487"/>
      <c r="AA207" s="487"/>
      <c r="AB207" s="487"/>
      <c r="AC207" s="487"/>
      <c r="AD207" s="487"/>
      <c r="AE207" s="487"/>
    </row>
    <row r="208" spans="2:31" s="103" customFormat="1" ht="10.9" customHeight="1" x14ac:dyDescent="0.15">
      <c r="B208" s="190"/>
      <c r="R208" s="487"/>
      <c r="S208" s="487"/>
      <c r="T208" s="487"/>
      <c r="U208" s="487"/>
      <c r="V208" s="487"/>
      <c r="W208" s="487"/>
      <c r="X208" s="487"/>
      <c r="Y208" s="487"/>
      <c r="Z208" s="487"/>
      <c r="AA208" s="487"/>
      <c r="AB208" s="487"/>
      <c r="AC208" s="487"/>
      <c r="AD208" s="487"/>
      <c r="AE208" s="487"/>
    </row>
    <row r="209" spans="2:31" s="103" customFormat="1" ht="10.9" customHeight="1" x14ac:dyDescent="0.15">
      <c r="B209" s="190"/>
      <c r="R209" s="487"/>
      <c r="S209" s="487"/>
      <c r="T209" s="487"/>
      <c r="U209" s="487"/>
      <c r="V209" s="487"/>
      <c r="W209" s="487"/>
      <c r="X209" s="487"/>
      <c r="Y209" s="487"/>
      <c r="Z209" s="487"/>
      <c r="AA209" s="487"/>
      <c r="AB209" s="487"/>
      <c r="AC209" s="487"/>
      <c r="AD209" s="487"/>
      <c r="AE209" s="487"/>
    </row>
    <row r="210" spans="2:31" s="103" customFormat="1" ht="10.9" customHeight="1" x14ac:dyDescent="0.15">
      <c r="B210" s="190"/>
      <c r="R210" s="487"/>
      <c r="S210" s="487"/>
      <c r="T210" s="487"/>
      <c r="U210" s="487"/>
      <c r="V210" s="487"/>
      <c r="W210" s="487"/>
      <c r="X210" s="487"/>
      <c r="Y210" s="487"/>
      <c r="Z210" s="487"/>
      <c r="AA210" s="487"/>
      <c r="AB210" s="487"/>
      <c r="AC210" s="487"/>
      <c r="AD210" s="487"/>
      <c r="AE210" s="487"/>
    </row>
    <row r="211" spans="2:31" s="103" customFormat="1" ht="10.9" customHeight="1" x14ac:dyDescent="0.15">
      <c r="B211" s="190"/>
      <c r="R211" s="487"/>
      <c r="S211" s="487"/>
      <c r="T211" s="487"/>
      <c r="U211" s="487"/>
      <c r="V211" s="487"/>
      <c r="W211" s="487"/>
      <c r="X211" s="487"/>
      <c r="Y211" s="487"/>
      <c r="Z211" s="487"/>
      <c r="AA211" s="487"/>
      <c r="AB211" s="487"/>
      <c r="AC211" s="487"/>
      <c r="AD211" s="487"/>
      <c r="AE211" s="487"/>
    </row>
    <row r="212" spans="2:31" s="103" customFormat="1" ht="10.9" customHeight="1" x14ac:dyDescent="0.15">
      <c r="B212" s="190"/>
      <c r="R212" s="487"/>
      <c r="S212" s="487"/>
      <c r="T212" s="487"/>
      <c r="U212" s="487"/>
      <c r="V212" s="487"/>
      <c r="W212" s="487"/>
      <c r="X212" s="487"/>
      <c r="Y212" s="487"/>
      <c r="Z212" s="487"/>
      <c r="AA212" s="487"/>
      <c r="AB212" s="487"/>
      <c r="AC212" s="487"/>
      <c r="AD212" s="487"/>
      <c r="AE212" s="487"/>
    </row>
    <row r="213" spans="2:31" s="103" customFormat="1" ht="10.9" customHeight="1" x14ac:dyDescent="0.15">
      <c r="B213" s="190"/>
      <c r="R213" s="487"/>
      <c r="S213" s="487"/>
      <c r="T213" s="487"/>
      <c r="U213" s="487"/>
      <c r="V213" s="487"/>
      <c r="W213" s="487"/>
      <c r="X213" s="487"/>
      <c r="Y213" s="487"/>
      <c r="Z213" s="487"/>
      <c r="AA213" s="487"/>
      <c r="AB213" s="487"/>
      <c r="AC213" s="487"/>
      <c r="AD213" s="487"/>
      <c r="AE213" s="487"/>
    </row>
    <row r="214" spans="2:31" s="103" customFormat="1" ht="10.9" customHeight="1" x14ac:dyDescent="0.15">
      <c r="B214" s="190"/>
      <c r="R214" s="487"/>
      <c r="S214" s="487"/>
      <c r="T214" s="487"/>
      <c r="U214" s="487"/>
      <c r="V214" s="487"/>
      <c r="W214" s="487"/>
      <c r="X214" s="487"/>
      <c r="Y214" s="487"/>
      <c r="Z214" s="487"/>
      <c r="AA214" s="487"/>
      <c r="AB214" s="487"/>
      <c r="AC214" s="487"/>
      <c r="AD214" s="487"/>
      <c r="AE214" s="487"/>
    </row>
    <row r="215" spans="2:31" s="103" customFormat="1" ht="10.9" customHeight="1" x14ac:dyDescent="0.15">
      <c r="B215" s="190"/>
      <c r="R215" s="487"/>
      <c r="S215" s="487"/>
      <c r="T215" s="487"/>
      <c r="U215" s="487"/>
      <c r="V215" s="487"/>
      <c r="W215" s="487"/>
      <c r="X215" s="487"/>
      <c r="Y215" s="487"/>
      <c r="Z215" s="487"/>
      <c r="AA215" s="487"/>
      <c r="AB215" s="487"/>
      <c r="AC215" s="487"/>
      <c r="AD215" s="487"/>
      <c r="AE215" s="487"/>
    </row>
    <row r="216" spans="2:31" s="103" customFormat="1" ht="10.9" customHeight="1" x14ac:dyDescent="0.15">
      <c r="B216" s="190"/>
      <c r="R216" s="487"/>
      <c r="S216" s="487"/>
      <c r="T216" s="487"/>
      <c r="U216" s="487"/>
      <c r="V216" s="487"/>
      <c r="W216" s="487"/>
      <c r="X216" s="487"/>
      <c r="Y216" s="487"/>
      <c r="Z216" s="487"/>
      <c r="AA216" s="487"/>
      <c r="AB216" s="487"/>
      <c r="AC216" s="487"/>
      <c r="AD216" s="487"/>
      <c r="AE216" s="487"/>
    </row>
    <row r="217" spans="2:31" s="103" customFormat="1" ht="10.9" customHeight="1" x14ac:dyDescent="0.15">
      <c r="B217" s="190"/>
      <c r="R217" s="487"/>
      <c r="S217" s="487"/>
      <c r="T217" s="487"/>
      <c r="U217" s="487"/>
      <c r="V217" s="487"/>
      <c r="W217" s="487"/>
      <c r="X217" s="487"/>
      <c r="Y217" s="487"/>
      <c r="Z217" s="487"/>
      <c r="AA217" s="487"/>
      <c r="AB217" s="487"/>
      <c r="AC217" s="487"/>
      <c r="AD217" s="487"/>
      <c r="AE217" s="487"/>
    </row>
    <row r="218" spans="2:31" s="103" customFormat="1" ht="10.9" customHeight="1" x14ac:dyDescent="0.15">
      <c r="B218" s="190"/>
      <c r="R218" s="487"/>
      <c r="S218" s="487"/>
      <c r="T218" s="487"/>
      <c r="U218" s="487"/>
      <c r="V218" s="487"/>
      <c r="W218" s="487"/>
      <c r="X218" s="487"/>
      <c r="Y218" s="487"/>
      <c r="Z218" s="487"/>
      <c r="AA218" s="487"/>
      <c r="AB218" s="487"/>
      <c r="AC218" s="487"/>
      <c r="AD218" s="487"/>
      <c r="AE218" s="487"/>
    </row>
    <row r="219" spans="2:31" s="103" customFormat="1" ht="10.9" customHeight="1" x14ac:dyDescent="0.15">
      <c r="B219" s="190"/>
      <c r="R219" s="487"/>
      <c r="S219" s="487"/>
      <c r="T219" s="487"/>
      <c r="U219" s="487"/>
      <c r="V219" s="487"/>
      <c r="W219" s="487"/>
      <c r="X219" s="487"/>
      <c r="Y219" s="487"/>
      <c r="Z219" s="487"/>
      <c r="AA219" s="487"/>
      <c r="AB219" s="487"/>
      <c r="AC219" s="487"/>
      <c r="AD219" s="487"/>
      <c r="AE219" s="487"/>
    </row>
    <row r="220" spans="2:31" s="103" customFormat="1" ht="10.9" customHeight="1" x14ac:dyDescent="0.15">
      <c r="B220" s="190"/>
      <c r="R220" s="487"/>
      <c r="S220" s="487"/>
      <c r="T220" s="487"/>
      <c r="U220" s="487"/>
      <c r="V220" s="487"/>
      <c r="W220" s="487"/>
      <c r="X220" s="487"/>
      <c r="Y220" s="487"/>
      <c r="Z220" s="487"/>
      <c r="AA220" s="487"/>
      <c r="AB220" s="487"/>
      <c r="AC220" s="487"/>
      <c r="AD220" s="487"/>
      <c r="AE220" s="487"/>
    </row>
    <row r="221" spans="2:31" s="103" customFormat="1" ht="10.9" customHeight="1" x14ac:dyDescent="0.15">
      <c r="B221" s="190"/>
      <c r="R221" s="487"/>
      <c r="S221" s="487"/>
      <c r="T221" s="487"/>
      <c r="U221" s="487"/>
      <c r="V221" s="487"/>
      <c r="W221" s="487"/>
      <c r="X221" s="487"/>
      <c r="Y221" s="487"/>
      <c r="Z221" s="487"/>
      <c r="AA221" s="487"/>
      <c r="AB221" s="487"/>
      <c r="AC221" s="487"/>
      <c r="AD221" s="487"/>
      <c r="AE221" s="487"/>
    </row>
    <row r="222" spans="2:31" s="103" customFormat="1" ht="10.9" customHeight="1" x14ac:dyDescent="0.15">
      <c r="B222" s="190"/>
      <c r="R222" s="487"/>
      <c r="S222" s="487"/>
      <c r="T222" s="487"/>
      <c r="U222" s="487"/>
      <c r="V222" s="487"/>
      <c r="W222" s="487"/>
      <c r="X222" s="487"/>
      <c r="Y222" s="487"/>
      <c r="Z222" s="487"/>
      <c r="AA222" s="487"/>
      <c r="AB222" s="487"/>
      <c r="AC222" s="487"/>
      <c r="AD222" s="487"/>
      <c r="AE222" s="487"/>
    </row>
    <row r="223" spans="2:31" s="103" customFormat="1" ht="10.9" customHeight="1" x14ac:dyDescent="0.15">
      <c r="B223" s="190"/>
      <c r="R223" s="487"/>
      <c r="S223" s="487"/>
      <c r="T223" s="487"/>
      <c r="U223" s="487"/>
      <c r="V223" s="487"/>
      <c r="W223" s="487"/>
      <c r="X223" s="487"/>
      <c r="Y223" s="487"/>
      <c r="Z223" s="487"/>
      <c r="AA223" s="487"/>
      <c r="AB223" s="487"/>
      <c r="AC223" s="487"/>
      <c r="AD223" s="487"/>
      <c r="AE223" s="487"/>
    </row>
    <row r="224" spans="2:31" s="103" customFormat="1" ht="10.9" customHeight="1" x14ac:dyDescent="0.15">
      <c r="B224" s="190"/>
      <c r="R224" s="487"/>
      <c r="S224" s="487"/>
      <c r="T224" s="487"/>
      <c r="U224" s="487"/>
      <c r="V224" s="487"/>
      <c r="W224" s="487"/>
      <c r="X224" s="487"/>
      <c r="Y224" s="487"/>
      <c r="Z224" s="487"/>
      <c r="AA224" s="487"/>
      <c r="AB224" s="487"/>
      <c r="AC224" s="487"/>
      <c r="AD224" s="487"/>
      <c r="AE224" s="487"/>
    </row>
    <row r="225" spans="2:31" s="103" customFormat="1" ht="10.9" customHeight="1" x14ac:dyDescent="0.15">
      <c r="B225" s="190"/>
      <c r="R225" s="487"/>
      <c r="S225" s="487"/>
      <c r="T225" s="487"/>
      <c r="U225" s="487"/>
      <c r="V225" s="487"/>
      <c r="W225" s="487"/>
      <c r="X225" s="487"/>
      <c r="Y225" s="487"/>
      <c r="Z225" s="487"/>
      <c r="AA225" s="487"/>
      <c r="AB225" s="487"/>
      <c r="AC225" s="487"/>
      <c r="AD225" s="487"/>
      <c r="AE225" s="487"/>
    </row>
    <row r="226" spans="2:31" s="103" customFormat="1" ht="10.9" customHeight="1" x14ac:dyDescent="0.15">
      <c r="B226" s="190"/>
      <c r="R226" s="487"/>
      <c r="S226" s="487"/>
      <c r="T226" s="487"/>
      <c r="U226" s="487"/>
      <c r="V226" s="487"/>
      <c r="W226" s="487"/>
      <c r="X226" s="487"/>
      <c r="Y226" s="487"/>
      <c r="Z226" s="487"/>
      <c r="AA226" s="487"/>
      <c r="AB226" s="487"/>
      <c r="AC226" s="487"/>
      <c r="AD226" s="487"/>
      <c r="AE226" s="487"/>
    </row>
    <row r="227" spans="2:31" s="103" customFormat="1" ht="10.9" customHeight="1" x14ac:dyDescent="0.15">
      <c r="B227" s="190"/>
      <c r="R227" s="487"/>
      <c r="S227" s="487"/>
      <c r="T227" s="487"/>
      <c r="U227" s="487"/>
      <c r="V227" s="487"/>
      <c r="W227" s="487"/>
      <c r="X227" s="487"/>
      <c r="Y227" s="487"/>
      <c r="Z227" s="487"/>
      <c r="AA227" s="487"/>
      <c r="AB227" s="487"/>
      <c r="AC227" s="487"/>
      <c r="AD227" s="487"/>
      <c r="AE227" s="487"/>
    </row>
    <row r="228" spans="2:31" s="103" customFormat="1" ht="10.9" customHeight="1" x14ac:dyDescent="0.15">
      <c r="B228" s="190"/>
      <c r="R228" s="487"/>
      <c r="S228" s="487"/>
      <c r="T228" s="487"/>
      <c r="U228" s="487"/>
      <c r="V228" s="487"/>
      <c r="W228" s="487"/>
      <c r="X228" s="487"/>
      <c r="Y228" s="487"/>
      <c r="Z228" s="487"/>
      <c r="AA228" s="487"/>
      <c r="AB228" s="487"/>
      <c r="AC228" s="487"/>
      <c r="AD228" s="487"/>
      <c r="AE228" s="487"/>
    </row>
    <row r="229" spans="2:31" s="103" customFormat="1" ht="10.9" customHeight="1" x14ac:dyDescent="0.15">
      <c r="B229" s="190"/>
      <c r="R229" s="487"/>
      <c r="S229" s="487"/>
      <c r="T229" s="487"/>
      <c r="U229" s="487"/>
      <c r="V229" s="487"/>
      <c r="W229" s="487"/>
      <c r="X229" s="487"/>
      <c r="Y229" s="487"/>
      <c r="Z229" s="487"/>
      <c r="AA229" s="487"/>
      <c r="AB229" s="487"/>
      <c r="AC229" s="487"/>
      <c r="AD229" s="487"/>
      <c r="AE229" s="487"/>
    </row>
    <row r="230" spans="2:31" s="103" customFormat="1" ht="10.9" customHeight="1" x14ac:dyDescent="0.15">
      <c r="B230" s="190"/>
      <c r="R230" s="487"/>
      <c r="S230" s="487"/>
      <c r="T230" s="487"/>
      <c r="U230" s="487"/>
      <c r="V230" s="487"/>
      <c r="W230" s="487"/>
      <c r="X230" s="487"/>
      <c r="Y230" s="487"/>
      <c r="Z230" s="487"/>
      <c r="AA230" s="487"/>
      <c r="AB230" s="487"/>
      <c r="AC230" s="487"/>
      <c r="AD230" s="487"/>
      <c r="AE230" s="487"/>
    </row>
    <row r="231" spans="2:31" s="103" customFormat="1" ht="10.9" customHeight="1" x14ac:dyDescent="0.15">
      <c r="B231" s="190"/>
      <c r="R231" s="487"/>
      <c r="S231" s="487"/>
      <c r="T231" s="487"/>
      <c r="U231" s="487"/>
      <c r="V231" s="487"/>
      <c r="W231" s="487"/>
      <c r="X231" s="487"/>
      <c r="Y231" s="487"/>
      <c r="Z231" s="487"/>
      <c r="AA231" s="487"/>
      <c r="AB231" s="487"/>
      <c r="AC231" s="487"/>
      <c r="AD231" s="487"/>
      <c r="AE231" s="487"/>
    </row>
    <row r="232" spans="2:31" s="103" customFormat="1" ht="10.9" customHeight="1" x14ac:dyDescent="0.15">
      <c r="B232" s="190"/>
      <c r="R232" s="487"/>
      <c r="S232" s="487"/>
      <c r="T232" s="487"/>
      <c r="U232" s="487"/>
      <c r="V232" s="487"/>
      <c r="W232" s="487"/>
      <c r="X232" s="487"/>
      <c r="Y232" s="487"/>
      <c r="Z232" s="487"/>
      <c r="AA232" s="487"/>
      <c r="AB232" s="487"/>
      <c r="AC232" s="487"/>
      <c r="AD232" s="487"/>
      <c r="AE232" s="487"/>
    </row>
    <row r="233" spans="2:31" s="103" customFormat="1" ht="10.9" customHeight="1" x14ac:dyDescent="0.15">
      <c r="B233" s="190"/>
      <c r="R233" s="487"/>
      <c r="S233" s="487"/>
      <c r="T233" s="487"/>
      <c r="U233" s="487"/>
      <c r="V233" s="487"/>
      <c r="W233" s="487"/>
      <c r="X233" s="487"/>
      <c r="Y233" s="487"/>
      <c r="Z233" s="487"/>
      <c r="AA233" s="487"/>
      <c r="AB233" s="487"/>
      <c r="AC233" s="487"/>
      <c r="AD233" s="487"/>
      <c r="AE233" s="487"/>
    </row>
    <row r="234" spans="2:31" s="103" customFormat="1" ht="10.9" customHeight="1" x14ac:dyDescent="0.15">
      <c r="B234" s="190"/>
      <c r="R234" s="487"/>
      <c r="S234" s="487"/>
      <c r="T234" s="487"/>
      <c r="U234" s="487"/>
      <c r="V234" s="487"/>
      <c r="W234" s="487"/>
      <c r="X234" s="487"/>
      <c r="Y234" s="487"/>
      <c r="Z234" s="487"/>
      <c r="AA234" s="487"/>
      <c r="AB234" s="487"/>
      <c r="AC234" s="487"/>
      <c r="AD234" s="487"/>
      <c r="AE234" s="487"/>
    </row>
    <row r="235" spans="2:31" s="103" customFormat="1" ht="10.9" customHeight="1" x14ac:dyDescent="0.15">
      <c r="B235" s="190"/>
      <c r="R235" s="487"/>
      <c r="S235" s="487"/>
      <c r="T235" s="487"/>
      <c r="U235" s="487"/>
      <c r="V235" s="487"/>
      <c r="W235" s="487"/>
      <c r="X235" s="487"/>
      <c r="Y235" s="487"/>
      <c r="Z235" s="487"/>
      <c r="AA235" s="487"/>
      <c r="AB235" s="487"/>
      <c r="AC235" s="487"/>
      <c r="AD235" s="487"/>
      <c r="AE235" s="487"/>
    </row>
    <row r="236" spans="2:31" s="103" customFormat="1" ht="10.9" customHeight="1" x14ac:dyDescent="0.15">
      <c r="B236" s="190"/>
      <c r="R236" s="487"/>
      <c r="S236" s="487"/>
      <c r="T236" s="487"/>
      <c r="U236" s="487"/>
      <c r="V236" s="487"/>
      <c r="W236" s="487"/>
      <c r="X236" s="487"/>
      <c r="Y236" s="487"/>
      <c r="Z236" s="487"/>
      <c r="AA236" s="487"/>
      <c r="AB236" s="487"/>
      <c r="AC236" s="487"/>
      <c r="AD236" s="487"/>
      <c r="AE236" s="487"/>
    </row>
    <row r="237" spans="2:31" s="103" customFormat="1" ht="10.9" customHeight="1" x14ac:dyDescent="0.15">
      <c r="B237" s="190"/>
      <c r="R237" s="487"/>
      <c r="S237" s="487"/>
      <c r="T237" s="487"/>
      <c r="U237" s="487"/>
      <c r="V237" s="487"/>
      <c r="W237" s="487"/>
      <c r="X237" s="487"/>
      <c r="Y237" s="487"/>
      <c r="Z237" s="487"/>
      <c r="AA237" s="487"/>
      <c r="AB237" s="487"/>
      <c r="AC237" s="487"/>
      <c r="AD237" s="487"/>
      <c r="AE237" s="487"/>
    </row>
    <row r="238" spans="2:31" s="103" customFormat="1" ht="10.9" customHeight="1" x14ac:dyDescent="0.15">
      <c r="B238" s="190"/>
      <c r="R238" s="487"/>
      <c r="S238" s="487"/>
      <c r="T238" s="487"/>
      <c r="U238" s="487"/>
      <c r="V238" s="487"/>
      <c r="W238" s="487"/>
      <c r="X238" s="487"/>
      <c r="Y238" s="487"/>
      <c r="Z238" s="487"/>
      <c r="AA238" s="487"/>
      <c r="AB238" s="487"/>
      <c r="AC238" s="487"/>
      <c r="AD238" s="487"/>
      <c r="AE238" s="487"/>
    </row>
    <row r="239" spans="2:31" s="103" customFormat="1" ht="10.9" customHeight="1" x14ac:dyDescent="0.15">
      <c r="B239" s="190"/>
      <c r="R239" s="487"/>
      <c r="S239" s="487"/>
      <c r="T239" s="487"/>
      <c r="U239" s="487"/>
      <c r="V239" s="487"/>
      <c r="W239" s="487"/>
      <c r="X239" s="487"/>
      <c r="Y239" s="487"/>
      <c r="Z239" s="487"/>
      <c r="AA239" s="487"/>
      <c r="AB239" s="487"/>
      <c r="AC239" s="487"/>
      <c r="AD239" s="487"/>
      <c r="AE239" s="487"/>
    </row>
    <row r="240" spans="2:31" s="103" customFormat="1" ht="10.9" customHeight="1" x14ac:dyDescent="0.15">
      <c r="B240" s="190"/>
      <c r="R240" s="487"/>
      <c r="S240" s="487"/>
      <c r="T240" s="487"/>
      <c r="U240" s="487"/>
      <c r="V240" s="487"/>
      <c r="W240" s="487"/>
      <c r="X240" s="487"/>
      <c r="Y240" s="487"/>
      <c r="Z240" s="487"/>
      <c r="AA240" s="487"/>
      <c r="AB240" s="487"/>
      <c r="AC240" s="487"/>
      <c r="AD240" s="487"/>
      <c r="AE240" s="487"/>
    </row>
    <row r="241" spans="2:31" s="103" customFormat="1" ht="10.9" customHeight="1" x14ac:dyDescent="0.15">
      <c r="B241" s="190"/>
      <c r="R241" s="487"/>
      <c r="S241" s="487"/>
      <c r="T241" s="487"/>
      <c r="U241" s="487"/>
      <c r="V241" s="487"/>
      <c r="W241" s="487"/>
      <c r="X241" s="487"/>
      <c r="Y241" s="487"/>
      <c r="Z241" s="487"/>
      <c r="AA241" s="487"/>
      <c r="AB241" s="487"/>
      <c r="AC241" s="487"/>
      <c r="AD241" s="487"/>
      <c r="AE241" s="487"/>
    </row>
    <row r="242" spans="2:31" s="103" customFormat="1" ht="10.9" customHeight="1" x14ac:dyDescent="0.15">
      <c r="B242" s="190"/>
      <c r="R242" s="487"/>
      <c r="S242" s="487"/>
      <c r="T242" s="487"/>
      <c r="U242" s="487"/>
      <c r="V242" s="487"/>
      <c r="W242" s="487"/>
      <c r="X242" s="487"/>
      <c r="Y242" s="487"/>
      <c r="Z242" s="487"/>
      <c r="AA242" s="487"/>
      <c r="AB242" s="487"/>
      <c r="AC242" s="487"/>
      <c r="AD242" s="487"/>
      <c r="AE242" s="487"/>
    </row>
    <row r="243" spans="2:31" s="103" customFormat="1" ht="10.9" customHeight="1" x14ac:dyDescent="0.15">
      <c r="B243" s="190"/>
      <c r="R243" s="487"/>
      <c r="S243" s="487"/>
      <c r="T243" s="487"/>
      <c r="U243" s="487"/>
      <c r="V243" s="487"/>
      <c r="W243" s="487"/>
      <c r="X243" s="487"/>
      <c r="Y243" s="487"/>
      <c r="Z243" s="487"/>
      <c r="AA243" s="487"/>
      <c r="AB243" s="487"/>
      <c r="AC243" s="487"/>
      <c r="AD243" s="487"/>
      <c r="AE243" s="487"/>
    </row>
    <row r="244" spans="2:31" s="103" customFormat="1" ht="10.9" customHeight="1" x14ac:dyDescent="0.15">
      <c r="B244" s="190"/>
      <c r="R244" s="487"/>
      <c r="S244" s="487"/>
      <c r="T244" s="487"/>
      <c r="U244" s="487"/>
      <c r="V244" s="487"/>
      <c r="W244" s="487"/>
      <c r="X244" s="487"/>
      <c r="Y244" s="487"/>
      <c r="Z244" s="487"/>
      <c r="AA244" s="487"/>
      <c r="AB244" s="487"/>
      <c r="AC244" s="487"/>
      <c r="AD244" s="487"/>
      <c r="AE244" s="487"/>
    </row>
    <row r="245" spans="2:31" s="103" customFormat="1" ht="10.9" customHeight="1" x14ac:dyDescent="0.15">
      <c r="B245" s="190"/>
      <c r="R245" s="487"/>
      <c r="S245" s="487"/>
      <c r="T245" s="487"/>
      <c r="U245" s="487"/>
      <c r="V245" s="487"/>
      <c r="W245" s="487"/>
      <c r="X245" s="487"/>
      <c r="Y245" s="487"/>
      <c r="Z245" s="487"/>
      <c r="AA245" s="487"/>
      <c r="AB245" s="487"/>
      <c r="AC245" s="487"/>
      <c r="AD245" s="487"/>
      <c r="AE245" s="487"/>
    </row>
    <row r="246" spans="2:31" s="103" customFormat="1" ht="10.9" customHeight="1" x14ac:dyDescent="0.15">
      <c r="B246" s="190"/>
      <c r="R246" s="487"/>
      <c r="S246" s="487"/>
      <c r="T246" s="487"/>
      <c r="U246" s="487"/>
      <c r="V246" s="487"/>
      <c r="W246" s="487"/>
      <c r="X246" s="487"/>
      <c r="Y246" s="487"/>
      <c r="Z246" s="487"/>
      <c r="AA246" s="487"/>
      <c r="AB246" s="487"/>
      <c r="AC246" s="487"/>
      <c r="AD246" s="487"/>
      <c r="AE246" s="487"/>
    </row>
    <row r="247" spans="2:31" s="103" customFormat="1" ht="10.9" customHeight="1" x14ac:dyDescent="0.15">
      <c r="B247" s="190"/>
      <c r="R247" s="487"/>
      <c r="S247" s="487"/>
      <c r="T247" s="487"/>
      <c r="U247" s="487"/>
      <c r="V247" s="487"/>
      <c r="W247" s="487"/>
      <c r="X247" s="487"/>
      <c r="Y247" s="487"/>
      <c r="Z247" s="487"/>
      <c r="AA247" s="487"/>
      <c r="AB247" s="487"/>
      <c r="AC247" s="487"/>
      <c r="AD247" s="487"/>
      <c r="AE247" s="487"/>
    </row>
    <row r="248" spans="2:31" s="103" customFormat="1" ht="10.9" customHeight="1" x14ac:dyDescent="0.15">
      <c r="B248" s="190"/>
      <c r="R248" s="487"/>
      <c r="S248" s="487"/>
      <c r="T248" s="487"/>
      <c r="U248" s="487"/>
      <c r="V248" s="487"/>
      <c r="W248" s="487"/>
      <c r="X248" s="487"/>
      <c r="Y248" s="487"/>
      <c r="Z248" s="487"/>
      <c r="AA248" s="487"/>
      <c r="AB248" s="487"/>
      <c r="AC248" s="487"/>
      <c r="AD248" s="487"/>
      <c r="AE248" s="487"/>
    </row>
    <row r="249" spans="2:31" s="103" customFormat="1" ht="10.9" customHeight="1" x14ac:dyDescent="0.15">
      <c r="B249" s="190"/>
      <c r="R249" s="487"/>
      <c r="S249" s="487"/>
      <c r="T249" s="487"/>
      <c r="U249" s="487"/>
      <c r="V249" s="487"/>
      <c r="W249" s="487"/>
      <c r="X249" s="487"/>
      <c r="Y249" s="487"/>
      <c r="Z249" s="487"/>
      <c r="AA249" s="487"/>
      <c r="AB249" s="487"/>
      <c r="AC249" s="487"/>
      <c r="AD249" s="487"/>
      <c r="AE249" s="487"/>
    </row>
    <row r="250" spans="2:31" s="103" customFormat="1" ht="10.9" customHeight="1" x14ac:dyDescent="0.15">
      <c r="B250" s="190"/>
      <c r="R250" s="487"/>
      <c r="S250" s="487"/>
      <c r="T250" s="487"/>
      <c r="U250" s="487"/>
      <c r="V250" s="487"/>
      <c r="W250" s="487"/>
      <c r="X250" s="487"/>
      <c r="Y250" s="487"/>
      <c r="Z250" s="487"/>
      <c r="AA250" s="487"/>
      <c r="AB250" s="487"/>
      <c r="AC250" s="487"/>
      <c r="AD250" s="487"/>
      <c r="AE250" s="487"/>
    </row>
    <row r="251" spans="2:31" s="103" customFormat="1" ht="10.9" customHeight="1" x14ac:dyDescent="0.15">
      <c r="B251" s="190"/>
      <c r="R251" s="487"/>
      <c r="S251" s="487"/>
      <c r="T251" s="487"/>
      <c r="U251" s="487"/>
      <c r="V251" s="487"/>
      <c r="W251" s="487"/>
      <c r="X251" s="487"/>
      <c r="Y251" s="487"/>
      <c r="Z251" s="487"/>
      <c r="AA251" s="487"/>
      <c r="AB251" s="487"/>
      <c r="AC251" s="487"/>
      <c r="AD251" s="487"/>
      <c r="AE251" s="487"/>
    </row>
    <row r="252" spans="2:31" s="103" customFormat="1" ht="10.9" customHeight="1" x14ac:dyDescent="0.15">
      <c r="B252" s="190"/>
      <c r="R252" s="487"/>
      <c r="S252" s="487"/>
      <c r="T252" s="487"/>
      <c r="U252" s="487"/>
      <c r="V252" s="487"/>
      <c r="W252" s="487"/>
      <c r="X252" s="487"/>
      <c r="Y252" s="487"/>
      <c r="Z252" s="487"/>
      <c r="AA252" s="487"/>
      <c r="AB252" s="487"/>
      <c r="AC252" s="487"/>
      <c r="AD252" s="487"/>
      <c r="AE252" s="487"/>
    </row>
    <row r="253" spans="2:31" s="103" customFormat="1" ht="10.9" customHeight="1" x14ac:dyDescent="0.15">
      <c r="B253" s="190"/>
      <c r="R253" s="487"/>
      <c r="S253" s="487"/>
      <c r="T253" s="487"/>
      <c r="U253" s="487"/>
      <c r="V253" s="487"/>
      <c r="W253" s="487"/>
      <c r="X253" s="487"/>
      <c r="Y253" s="487"/>
      <c r="Z253" s="487"/>
      <c r="AA253" s="487"/>
      <c r="AB253" s="487"/>
      <c r="AC253" s="487"/>
      <c r="AD253" s="487"/>
      <c r="AE253" s="487"/>
    </row>
    <row r="254" spans="2:31" s="103" customFormat="1" ht="10.9" customHeight="1" x14ac:dyDescent="0.15">
      <c r="B254" s="190"/>
      <c r="R254" s="487"/>
      <c r="S254" s="487"/>
      <c r="T254" s="487"/>
      <c r="U254" s="487"/>
      <c r="V254" s="487"/>
      <c r="W254" s="487"/>
      <c r="X254" s="487"/>
      <c r="Y254" s="487"/>
      <c r="Z254" s="487"/>
      <c r="AA254" s="487"/>
      <c r="AB254" s="487"/>
      <c r="AC254" s="487"/>
      <c r="AD254" s="487"/>
      <c r="AE254" s="487"/>
    </row>
    <row r="255" spans="2:31" s="103" customFormat="1" ht="10.9" customHeight="1" x14ac:dyDescent="0.15">
      <c r="B255" s="190"/>
      <c r="R255" s="487"/>
      <c r="S255" s="487"/>
      <c r="T255" s="487"/>
      <c r="U255" s="487"/>
      <c r="V255" s="487"/>
      <c r="W255" s="487"/>
      <c r="X255" s="487"/>
      <c r="Y255" s="487"/>
      <c r="Z255" s="487"/>
      <c r="AA255" s="487"/>
      <c r="AB255" s="487"/>
      <c r="AC255" s="487"/>
      <c r="AD255" s="487"/>
      <c r="AE255" s="487"/>
    </row>
    <row r="256" spans="2:31" s="103" customFormat="1" ht="10.9" customHeight="1" x14ac:dyDescent="0.15">
      <c r="B256" s="190"/>
      <c r="R256" s="487"/>
      <c r="S256" s="487"/>
      <c r="T256" s="487"/>
      <c r="U256" s="487"/>
      <c r="V256" s="487"/>
      <c r="W256" s="487"/>
      <c r="X256" s="487"/>
      <c r="Y256" s="487"/>
      <c r="Z256" s="487"/>
      <c r="AA256" s="487"/>
      <c r="AB256" s="487"/>
      <c r="AC256" s="487"/>
      <c r="AD256" s="487"/>
      <c r="AE256" s="487"/>
    </row>
    <row r="257" spans="2:31" s="103" customFormat="1" ht="10.9" customHeight="1" x14ac:dyDescent="0.15">
      <c r="B257" s="190"/>
      <c r="R257" s="487"/>
      <c r="S257" s="487"/>
      <c r="T257" s="487"/>
      <c r="U257" s="487"/>
      <c r="V257" s="487"/>
      <c r="W257" s="487"/>
      <c r="X257" s="487"/>
      <c r="Y257" s="487"/>
      <c r="Z257" s="487"/>
      <c r="AA257" s="487"/>
      <c r="AB257" s="487"/>
      <c r="AC257" s="487"/>
      <c r="AD257" s="487"/>
      <c r="AE257" s="487"/>
    </row>
    <row r="258" spans="2:31" s="103" customFormat="1" ht="10.9" customHeight="1" x14ac:dyDescent="0.15">
      <c r="B258" s="190"/>
      <c r="R258" s="487"/>
      <c r="S258" s="487"/>
      <c r="T258" s="487"/>
      <c r="U258" s="487"/>
      <c r="V258" s="487"/>
      <c r="W258" s="487"/>
      <c r="X258" s="487"/>
      <c r="Y258" s="487"/>
      <c r="Z258" s="487"/>
      <c r="AA258" s="487"/>
      <c r="AB258" s="487"/>
      <c r="AC258" s="487"/>
      <c r="AD258" s="487"/>
      <c r="AE258" s="487"/>
    </row>
    <row r="259" spans="2:31" s="103" customFormat="1" ht="10.9" customHeight="1" x14ac:dyDescent="0.15">
      <c r="B259" s="190"/>
      <c r="R259" s="487"/>
      <c r="S259" s="487"/>
      <c r="T259" s="487"/>
      <c r="U259" s="487"/>
      <c r="V259" s="487"/>
      <c r="W259" s="487"/>
      <c r="X259" s="487"/>
      <c r="Y259" s="487"/>
      <c r="Z259" s="487"/>
      <c r="AA259" s="487"/>
      <c r="AB259" s="487"/>
      <c r="AC259" s="487"/>
      <c r="AD259" s="487"/>
      <c r="AE259" s="487"/>
    </row>
    <row r="260" spans="2:31" s="103" customFormat="1" ht="10.9" customHeight="1" x14ac:dyDescent="0.15">
      <c r="B260" s="190"/>
      <c r="R260" s="487"/>
      <c r="S260" s="487"/>
      <c r="T260" s="487"/>
      <c r="U260" s="487"/>
      <c r="V260" s="487"/>
      <c r="W260" s="487"/>
      <c r="X260" s="487"/>
      <c r="Y260" s="487"/>
      <c r="Z260" s="487"/>
      <c r="AA260" s="487"/>
      <c r="AB260" s="487"/>
      <c r="AC260" s="487"/>
      <c r="AD260" s="487"/>
      <c r="AE260" s="487"/>
    </row>
    <row r="261" spans="2:31" s="103" customFormat="1" ht="10.9" customHeight="1" x14ac:dyDescent="0.15">
      <c r="B261" s="190"/>
      <c r="R261" s="487"/>
      <c r="S261" s="487"/>
      <c r="T261" s="487"/>
      <c r="U261" s="487"/>
      <c r="V261" s="487"/>
      <c r="W261" s="487"/>
      <c r="X261" s="487"/>
      <c r="Y261" s="487"/>
      <c r="Z261" s="487"/>
      <c r="AA261" s="487"/>
      <c r="AB261" s="487"/>
      <c r="AC261" s="487"/>
      <c r="AD261" s="487"/>
      <c r="AE261" s="487"/>
    </row>
    <row r="262" spans="2:31" s="103" customFormat="1" ht="10.9" customHeight="1" x14ac:dyDescent="0.15">
      <c r="B262" s="190"/>
      <c r="R262" s="487"/>
      <c r="S262" s="487"/>
      <c r="T262" s="487"/>
      <c r="U262" s="487"/>
      <c r="V262" s="487"/>
      <c r="W262" s="487"/>
      <c r="X262" s="487"/>
      <c r="Y262" s="487"/>
      <c r="Z262" s="487"/>
      <c r="AA262" s="487"/>
      <c r="AB262" s="487"/>
      <c r="AC262" s="487"/>
      <c r="AD262" s="487"/>
      <c r="AE262" s="487"/>
    </row>
    <row r="263" spans="2:31" s="103" customFormat="1" ht="10.9" customHeight="1" x14ac:dyDescent="0.15">
      <c r="B263" s="190"/>
      <c r="R263" s="487"/>
      <c r="S263" s="487"/>
      <c r="T263" s="487"/>
      <c r="U263" s="487"/>
      <c r="V263" s="487"/>
      <c r="W263" s="487"/>
      <c r="X263" s="487"/>
      <c r="Y263" s="487"/>
      <c r="Z263" s="487"/>
      <c r="AA263" s="487"/>
      <c r="AB263" s="487"/>
      <c r="AC263" s="487"/>
      <c r="AD263" s="487"/>
      <c r="AE263" s="487"/>
    </row>
    <row r="264" spans="2:31" s="103" customFormat="1" ht="10.9" customHeight="1" x14ac:dyDescent="0.15">
      <c r="B264" s="190"/>
      <c r="R264" s="487"/>
      <c r="S264" s="487"/>
      <c r="T264" s="487"/>
      <c r="U264" s="487"/>
      <c r="V264" s="487"/>
      <c r="W264" s="487"/>
      <c r="X264" s="487"/>
      <c r="Y264" s="487"/>
      <c r="Z264" s="487"/>
      <c r="AA264" s="487"/>
      <c r="AB264" s="487"/>
      <c r="AC264" s="487"/>
      <c r="AD264" s="487"/>
      <c r="AE264" s="487"/>
    </row>
    <row r="265" spans="2:31" s="103" customFormat="1" ht="10.9" customHeight="1" x14ac:dyDescent="0.15">
      <c r="B265" s="190"/>
      <c r="R265" s="487"/>
      <c r="S265" s="487"/>
      <c r="T265" s="487"/>
      <c r="U265" s="487"/>
      <c r="V265" s="487"/>
      <c r="W265" s="487"/>
      <c r="X265" s="487"/>
      <c r="Y265" s="487"/>
      <c r="Z265" s="487"/>
      <c r="AA265" s="487"/>
      <c r="AB265" s="487"/>
      <c r="AC265" s="487"/>
      <c r="AD265" s="487"/>
      <c r="AE265" s="487"/>
    </row>
    <row r="266" spans="2:31" s="103" customFormat="1" ht="10.9" customHeight="1" x14ac:dyDescent="0.15">
      <c r="B266" s="190"/>
      <c r="R266" s="487"/>
      <c r="S266" s="487"/>
      <c r="T266" s="487"/>
      <c r="U266" s="487"/>
      <c r="V266" s="487"/>
      <c r="W266" s="487"/>
      <c r="X266" s="487"/>
      <c r="Y266" s="487"/>
      <c r="Z266" s="487"/>
      <c r="AA266" s="487"/>
      <c r="AB266" s="487"/>
      <c r="AC266" s="487"/>
      <c r="AD266" s="487"/>
      <c r="AE266" s="487"/>
    </row>
    <row r="267" spans="2:31" s="103" customFormat="1" ht="10.9" customHeight="1" x14ac:dyDescent="0.15">
      <c r="B267" s="190"/>
      <c r="R267" s="487"/>
      <c r="S267" s="487"/>
      <c r="T267" s="487"/>
      <c r="U267" s="487"/>
      <c r="V267" s="487"/>
      <c r="W267" s="487"/>
      <c r="X267" s="487"/>
      <c r="Y267" s="487"/>
      <c r="Z267" s="487"/>
      <c r="AA267" s="487"/>
      <c r="AB267" s="487"/>
      <c r="AC267" s="487"/>
      <c r="AD267" s="487"/>
      <c r="AE267" s="487"/>
    </row>
    <row r="268" spans="2:31" s="103" customFormat="1" ht="10.9" customHeight="1" x14ac:dyDescent="0.15">
      <c r="B268" s="190"/>
      <c r="R268" s="487"/>
      <c r="S268" s="487"/>
      <c r="T268" s="487"/>
      <c r="U268" s="487"/>
      <c r="V268" s="487"/>
      <c r="W268" s="487"/>
      <c r="X268" s="487"/>
      <c r="Y268" s="487"/>
      <c r="Z268" s="487"/>
      <c r="AA268" s="487"/>
      <c r="AB268" s="487"/>
      <c r="AC268" s="487"/>
      <c r="AD268" s="487"/>
      <c r="AE268" s="487"/>
    </row>
    <row r="269" spans="2:31" s="103" customFormat="1" ht="10.9" customHeight="1" x14ac:dyDescent="0.15">
      <c r="B269" s="190"/>
      <c r="R269" s="487"/>
      <c r="S269" s="487"/>
      <c r="T269" s="487"/>
      <c r="U269" s="487"/>
      <c r="V269" s="487"/>
      <c r="W269" s="487"/>
      <c r="X269" s="487"/>
      <c r="Y269" s="487"/>
      <c r="Z269" s="487"/>
      <c r="AA269" s="487"/>
      <c r="AB269" s="487"/>
      <c r="AC269" s="487"/>
      <c r="AD269" s="487"/>
      <c r="AE269" s="487"/>
    </row>
    <row r="270" spans="2:31" s="103" customFormat="1" ht="10.9" customHeight="1" x14ac:dyDescent="0.15">
      <c r="B270" s="190"/>
      <c r="R270" s="487"/>
      <c r="S270" s="487"/>
      <c r="T270" s="487"/>
      <c r="U270" s="487"/>
      <c r="V270" s="487"/>
      <c r="W270" s="487"/>
      <c r="X270" s="487"/>
      <c r="Y270" s="487"/>
      <c r="Z270" s="487"/>
      <c r="AA270" s="487"/>
      <c r="AB270" s="487"/>
      <c r="AC270" s="487"/>
      <c r="AD270" s="487"/>
      <c r="AE270" s="487"/>
    </row>
    <row r="271" spans="2:31" s="103" customFormat="1" ht="10.9" customHeight="1" x14ac:dyDescent="0.15">
      <c r="B271" s="190"/>
      <c r="R271" s="487"/>
      <c r="S271" s="487"/>
      <c r="T271" s="487"/>
      <c r="U271" s="487"/>
      <c r="V271" s="487"/>
      <c r="W271" s="487"/>
      <c r="X271" s="487"/>
      <c r="Y271" s="487"/>
      <c r="Z271" s="487"/>
      <c r="AA271" s="487"/>
      <c r="AB271" s="487"/>
      <c r="AC271" s="487"/>
      <c r="AD271" s="487"/>
      <c r="AE271" s="487"/>
    </row>
    <row r="272" spans="2:31" s="103" customFormat="1" ht="10.9" customHeight="1" x14ac:dyDescent="0.15">
      <c r="B272" s="190"/>
      <c r="R272" s="487"/>
      <c r="S272" s="487"/>
      <c r="T272" s="487"/>
      <c r="U272" s="487"/>
      <c r="V272" s="487"/>
      <c r="W272" s="487"/>
      <c r="X272" s="487"/>
      <c r="Y272" s="487"/>
      <c r="Z272" s="487"/>
      <c r="AA272" s="487"/>
      <c r="AB272" s="487"/>
      <c r="AC272" s="487"/>
      <c r="AD272" s="487"/>
      <c r="AE272" s="487"/>
    </row>
    <row r="273" spans="2:31" s="103" customFormat="1" ht="10.9" customHeight="1" x14ac:dyDescent="0.15">
      <c r="B273" s="190"/>
      <c r="R273" s="487"/>
      <c r="S273" s="487"/>
      <c r="T273" s="487"/>
      <c r="U273" s="487"/>
      <c r="V273" s="487"/>
      <c r="W273" s="487"/>
      <c r="X273" s="487"/>
      <c r="Y273" s="487"/>
      <c r="Z273" s="487"/>
      <c r="AA273" s="487"/>
      <c r="AB273" s="487"/>
      <c r="AC273" s="487"/>
      <c r="AD273" s="487"/>
      <c r="AE273" s="487"/>
    </row>
    <row r="274" spans="2:31" s="103" customFormat="1" ht="10.9" customHeight="1" x14ac:dyDescent="0.15">
      <c r="B274" s="190"/>
      <c r="R274" s="487"/>
      <c r="S274" s="487"/>
      <c r="T274" s="487"/>
      <c r="U274" s="487"/>
      <c r="V274" s="487"/>
      <c r="W274" s="487"/>
      <c r="X274" s="487"/>
      <c r="Y274" s="487"/>
      <c r="Z274" s="487"/>
      <c r="AA274" s="487"/>
      <c r="AB274" s="487"/>
      <c r="AC274" s="487"/>
      <c r="AD274" s="487"/>
      <c r="AE274" s="487"/>
    </row>
    <row r="275" spans="2:31" s="103" customFormat="1" ht="10.9" customHeight="1" x14ac:dyDescent="0.15">
      <c r="B275" s="190"/>
      <c r="R275" s="487"/>
      <c r="S275" s="487"/>
      <c r="T275" s="487"/>
      <c r="U275" s="487"/>
      <c r="V275" s="487"/>
      <c r="W275" s="487"/>
      <c r="X275" s="487"/>
      <c r="Y275" s="487"/>
      <c r="Z275" s="487"/>
      <c r="AA275" s="487"/>
      <c r="AB275" s="487"/>
      <c r="AC275" s="487"/>
      <c r="AD275" s="487"/>
      <c r="AE275" s="487"/>
    </row>
    <row r="276" spans="2:31" s="103" customFormat="1" ht="10.9" customHeight="1" x14ac:dyDescent="0.15">
      <c r="B276" s="190"/>
      <c r="R276" s="487"/>
      <c r="S276" s="487"/>
      <c r="T276" s="487"/>
      <c r="U276" s="487"/>
      <c r="V276" s="487"/>
      <c r="W276" s="487"/>
      <c r="X276" s="487"/>
      <c r="Y276" s="487"/>
      <c r="Z276" s="487"/>
      <c r="AA276" s="487"/>
      <c r="AB276" s="487"/>
      <c r="AC276" s="487"/>
      <c r="AD276" s="487"/>
      <c r="AE276" s="487"/>
    </row>
    <row r="277" spans="2:31" s="103" customFormat="1" ht="10.9" customHeight="1" x14ac:dyDescent="0.15">
      <c r="B277" s="190"/>
      <c r="R277" s="487"/>
      <c r="S277" s="487"/>
      <c r="T277" s="487"/>
      <c r="U277" s="487"/>
      <c r="V277" s="487"/>
      <c r="W277" s="487"/>
      <c r="X277" s="487"/>
      <c r="Y277" s="487"/>
      <c r="Z277" s="487"/>
      <c r="AA277" s="487"/>
      <c r="AB277" s="487"/>
      <c r="AC277" s="487"/>
      <c r="AD277" s="487"/>
      <c r="AE277" s="487"/>
    </row>
    <row r="278" spans="2:31" s="103" customFormat="1" ht="10.9" customHeight="1" x14ac:dyDescent="0.15">
      <c r="B278" s="190"/>
      <c r="R278" s="487"/>
      <c r="S278" s="487"/>
      <c r="T278" s="487"/>
      <c r="U278" s="487"/>
      <c r="V278" s="487"/>
      <c r="W278" s="487"/>
      <c r="X278" s="487"/>
      <c r="Y278" s="487"/>
      <c r="Z278" s="487"/>
      <c r="AA278" s="487"/>
      <c r="AB278" s="487"/>
      <c r="AC278" s="487"/>
      <c r="AD278" s="487"/>
      <c r="AE278" s="487"/>
    </row>
    <row r="279" spans="2:31" s="103" customFormat="1" ht="10.9" customHeight="1" x14ac:dyDescent="0.15">
      <c r="B279" s="190"/>
      <c r="R279" s="487"/>
      <c r="S279" s="487"/>
      <c r="T279" s="487"/>
      <c r="U279" s="487"/>
      <c r="V279" s="487"/>
      <c r="W279" s="487"/>
      <c r="X279" s="487"/>
      <c r="Y279" s="487"/>
      <c r="Z279" s="487"/>
      <c r="AA279" s="487"/>
      <c r="AB279" s="487"/>
      <c r="AC279" s="487"/>
      <c r="AD279" s="487"/>
      <c r="AE279" s="487"/>
    </row>
    <row r="280" spans="2:31" s="103" customFormat="1" ht="10.9" customHeight="1" x14ac:dyDescent="0.15">
      <c r="B280" s="190"/>
      <c r="R280" s="487"/>
      <c r="S280" s="487"/>
      <c r="T280" s="487"/>
      <c r="U280" s="487"/>
      <c r="V280" s="487"/>
      <c r="W280" s="487"/>
      <c r="X280" s="487"/>
      <c r="Y280" s="487"/>
      <c r="Z280" s="487"/>
      <c r="AA280" s="487"/>
      <c r="AB280" s="487"/>
      <c r="AC280" s="487"/>
      <c r="AD280" s="487"/>
      <c r="AE280" s="487"/>
    </row>
    <row r="281" spans="2:31" s="103" customFormat="1" ht="10.9" customHeight="1" x14ac:dyDescent="0.15">
      <c r="B281" s="190"/>
      <c r="R281" s="487"/>
      <c r="S281" s="487"/>
      <c r="T281" s="487"/>
      <c r="U281" s="487"/>
      <c r="V281" s="487"/>
      <c r="W281" s="487"/>
      <c r="X281" s="487"/>
      <c r="Y281" s="487"/>
      <c r="Z281" s="487"/>
      <c r="AA281" s="487"/>
      <c r="AB281" s="487"/>
      <c r="AC281" s="487"/>
      <c r="AD281" s="487"/>
      <c r="AE281" s="487"/>
    </row>
    <row r="282" spans="2:31" s="103" customFormat="1" ht="10.9" customHeight="1" x14ac:dyDescent="0.15">
      <c r="B282" s="190"/>
      <c r="R282" s="487"/>
      <c r="S282" s="487"/>
      <c r="T282" s="487"/>
      <c r="U282" s="487"/>
      <c r="V282" s="487"/>
      <c r="W282" s="487"/>
      <c r="X282" s="487"/>
      <c r="Y282" s="487"/>
      <c r="Z282" s="487"/>
      <c r="AA282" s="487"/>
      <c r="AB282" s="487"/>
      <c r="AC282" s="487"/>
      <c r="AD282" s="487"/>
      <c r="AE282" s="487"/>
    </row>
    <row r="283" spans="2:31" s="103" customFormat="1" ht="10.9" customHeight="1" x14ac:dyDescent="0.15">
      <c r="B283" s="190"/>
      <c r="R283" s="487"/>
      <c r="S283" s="487"/>
      <c r="T283" s="487"/>
      <c r="U283" s="487"/>
      <c r="V283" s="487"/>
      <c r="W283" s="487"/>
      <c r="X283" s="487"/>
      <c r="Y283" s="487"/>
      <c r="Z283" s="487"/>
      <c r="AA283" s="487"/>
      <c r="AB283" s="487"/>
      <c r="AC283" s="487"/>
      <c r="AD283" s="487"/>
      <c r="AE283" s="487"/>
    </row>
    <row r="284" spans="2:31" s="103" customFormat="1" ht="10.9" customHeight="1" x14ac:dyDescent="0.15">
      <c r="B284" s="190"/>
      <c r="R284" s="487"/>
      <c r="S284" s="487"/>
      <c r="T284" s="487"/>
      <c r="U284" s="487"/>
      <c r="V284" s="487"/>
      <c r="W284" s="487"/>
      <c r="X284" s="487"/>
      <c r="Y284" s="487"/>
      <c r="Z284" s="487"/>
      <c r="AA284" s="487"/>
      <c r="AB284" s="487"/>
      <c r="AC284" s="487"/>
      <c r="AD284" s="487"/>
      <c r="AE284" s="487"/>
    </row>
    <row r="285" spans="2:31" s="103" customFormat="1" ht="10.9" customHeight="1" x14ac:dyDescent="0.15">
      <c r="B285" s="190"/>
      <c r="R285" s="487"/>
      <c r="S285" s="487"/>
      <c r="T285" s="487"/>
      <c r="U285" s="487"/>
      <c r="V285" s="487"/>
      <c r="W285" s="487"/>
      <c r="X285" s="487"/>
      <c r="Y285" s="487"/>
      <c r="Z285" s="487"/>
      <c r="AA285" s="487"/>
      <c r="AB285" s="487"/>
      <c r="AC285" s="487"/>
      <c r="AD285" s="487"/>
      <c r="AE285" s="487"/>
    </row>
    <row r="286" spans="2:31" s="103" customFormat="1" ht="10.9" customHeight="1" x14ac:dyDescent="0.15">
      <c r="B286" s="190"/>
      <c r="R286" s="487"/>
      <c r="S286" s="487"/>
      <c r="T286" s="487"/>
      <c r="U286" s="487"/>
      <c r="V286" s="487"/>
      <c r="W286" s="487"/>
      <c r="X286" s="487"/>
      <c r="Y286" s="487"/>
      <c r="Z286" s="487"/>
      <c r="AA286" s="487"/>
      <c r="AB286" s="487"/>
      <c r="AC286" s="487"/>
      <c r="AD286" s="487"/>
      <c r="AE286" s="487"/>
    </row>
    <row r="287" spans="2:31" s="103" customFormat="1" ht="10.9" customHeight="1" x14ac:dyDescent="0.15">
      <c r="B287" s="190"/>
      <c r="R287" s="487"/>
      <c r="S287" s="487"/>
      <c r="T287" s="487"/>
      <c r="U287" s="487"/>
      <c r="V287" s="487"/>
      <c r="W287" s="487"/>
      <c r="X287" s="487"/>
      <c r="Y287" s="487"/>
      <c r="Z287" s="487"/>
      <c r="AA287" s="487"/>
      <c r="AB287" s="487"/>
      <c r="AC287" s="487"/>
      <c r="AD287" s="487"/>
      <c r="AE287" s="487"/>
    </row>
    <row r="288" spans="2:31" s="103" customFormat="1" ht="10.9" customHeight="1" x14ac:dyDescent="0.15">
      <c r="B288" s="190"/>
      <c r="R288" s="487"/>
      <c r="S288" s="487"/>
      <c r="T288" s="487"/>
      <c r="U288" s="487"/>
      <c r="V288" s="487"/>
      <c r="W288" s="487"/>
      <c r="X288" s="487"/>
      <c r="Y288" s="487"/>
      <c r="Z288" s="487"/>
      <c r="AA288" s="487"/>
      <c r="AB288" s="487"/>
      <c r="AC288" s="487"/>
      <c r="AD288" s="487"/>
      <c r="AE288" s="487"/>
    </row>
    <row r="289" spans="2:31" s="103" customFormat="1" ht="10.9" customHeight="1" x14ac:dyDescent="0.15">
      <c r="B289" s="190"/>
      <c r="R289" s="487"/>
      <c r="S289" s="487"/>
      <c r="T289" s="487"/>
      <c r="U289" s="487"/>
      <c r="V289" s="487"/>
      <c r="W289" s="487"/>
      <c r="X289" s="487"/>
      <c r="Y289" s="487"/>
      <c r="Z289" s="487"/>
      <c r="AA289" s="487"/>
      <c r="AB289" s="487"/>
      <c r="AC289" s="487"/>
      <c r="AD289" s="487"/>
      <c r="AE289" s="487"/>
    </row>
    <row r="290" spans="2:31" s="103" customFormat="1" ht="10.9" customHeight="1" x14ac:dyDescent="0.15">
      <c r="B290" s="190"/>
      <c r="R290" s="487"/>
      <c r="S290" s="487"/>
      <c r="T290" s="487"/>
      <c r="U290" s="487"/>
      <c r="V290" s="487"/>
      <c r="W290" s="487"/>
      <c r="X290" s="487"/>
      <c r="Y290" s="487"/>
      <c r="Z290" s="487"/>
      <c r="AA290" s="487"/>
      <c r="AB290" s="487"/>
      <c r="AC290" s="487"/>
      <c r="AD290" s="487"/>
      <c r="AE290" s="487"/>
    </row>
    <row r="291" spans="2:31" s="103" customFormat="1" ht="10.9" customHeight="1" x14ac:dyDescent="0.15">
      <c r="B291" s="190"/>
      <c r="R291" s="487"/>
      <c r="S291" s="487"/>
      <c r="T291" s="487"/>
      <c r="U291" s="487"/>
      <c r="V291" s="487"/>
      <c r="W291" s="487"/>
      <c r="X291" s="487"/>
      <c r="Y291" s="487"/>
      <c r="Z291" s="487"/>
      <c r="AA291" s="487"/>
      <c r="AB291" s="487"/>
      <c r="AC291" s="487"/>
      <c r="AD291" s="487"/>
      <c r="AE291" s="487"/>
    </row>
    <row r="292" spans="2:31" s="103" customFormat="1" ht="10.9" customHeight="1" x14ac:dyDescent="0.15">
      <c r="B292" s="190"/>
      <c r="R292" s="487"/>
      <c r="S292" s="487"/>
      <c r="T292" s="487"/>
      <c r="U292" s="487"/>
      <c r="V292" s="487"/>
      <c r="W292" s="487"/>
      <c r="X292" s="487"/>
      <c r="Y292" s="487"/>
      <c r="Z292" s="487"/>
      <c r="AA292" s="487"/>
      <c r="AB292" s="487"/>
      <c r="AC292" s="487"/>
      <c r="AD292" s="487"/>
      <c r="AE292" s="487"/>
    </row>
    <row r="293" spans="2:31" s="103" customFormat="1" ht="10.9" customHeight="1" x14ac:dyDescent="0.15">
      <c r="B293" s="190"/>
      <c r="R293" s="487"/>
      <c r="S293" s="487"/>
      <c r="T293" s="487"/>
      <c r="U293" s="487"/>
      <c r="V293" s="487"/>
      <c r="W293" s="487"/>
      <c r="X293" s="487"/>
      <c r="Y293" s="487"/>
      <c r="Z293" s="487"/>
      <c r="AA293" s="487"/>
      <c r="AB293" s="487"/>
      <c r="AC293" s="487"/>
      <c r="AD293" s="487"/>
      <c r="AE293" s="487"/>
    </row>
    <row r="294" spans="2:31" s="103" customFormat="1" ht="10.9" customHeight="1" x14ac:dyDescent="0.15">
      <c r="B294" s="190"/>
      <c r="R294" s="487"/>
      <c r="S294" s="487"/>
      <c r="T294" s="487"/>
      <c r="U294" s="487"/>
      <c r="V294" s="487"/>
      <c r="W294" s="487"/>
      <c r="X294" s="487"/>
      <c r="Y294" s="487"/>
      <c r="Z294" s="487"/>
      <c r="AA294" s="487"/>
      <c r="AB294" s="487"/>
      <c r="AC294" s="487"/>
      <c r="AD294" s="487"/>
      <c r="AE294" s="487"/>
    </row>
    <row r="295" spans="2:31" s="103" customFormat="1" ht="10.9" customHeight="1" x14ac:dyDescent="0.15">
      <c r="B295" s="190"/>
      <c r="R295" s="487"/>
      <c r="S295" s="487"/>
      <c r="T295" s="487"/>
      <c r="U295" s="487"/>
      <c r="V295" s="487"/>
      <c r="W295" s="487"/>
      <c r="X295" s="487"/>
      <c r="Y295" s="487"/>
      <c r="Z295" s="487"/>
      <c r="AA295" s="487"/>
      <c r="AB295" s="487"/>
      <c r="AC295" s="487"/>
      <c r="AD295" s="487"/>
      <c r="AE295" s="487"/>
    </row>
    <row r="296" spans="2:31" s="103" customFormat="1" ht="10.9" customHeight="1" x14ac:dyDescent="0.15">
      <c r="B296" s="190"/>
      <c r="R296" s="487"/>
      <c r="S296" s="487"/>
      <c r="T296" s="487"/>
      <c r="U296" s="487"/>
      <c r="V296" s="487"/>
      <c r="W296" s="487"/>
      <c r="X296" s="487"/>
      <c r="Y296" s="487"/>
      <c r="Z296" s="487"/>
      <c r="AA296" s="487"/>
      <c r="AB296" s="487"/>
      <c r="AC296" s="487"/>
      <c r="AD296" s="487"/>
      <c r="AE296" s="487"/>
    </row>
    <row r="297" spans="2:31" s="103" customFormat="1" ht="10.9" customHeight="1" x14ac:dyDescent="0.15">
      <c r="B297" s="190"/>
      <c r="R297" s="487"/>
      <c r="S297" s="487"/>
      <c r="T297" s="487"/>
      <c r="U297" s="487"/>
      <c r="V297" s="487"/>
      <c r="W297" s="487"/>
      <c r="X297" s="487"/>
      <c r="Y297" s="487"/>
      <c r="Z297" s="487"/>
      <c r="AA297" s="487"/>
      <c r="AB297" s="487"/>
      <c r="AC297" s="487"/>
      <c r="AD297" s="487"/>
      <c r="AE297" s="487"/>
    </row>
    <row r="298" spans="2:31" s="103" customFormat="1" ht="10.9" customHeight="1" x14ac:dyDescent="0.15">
      <c r="B298" s="190"/>
      <c r="R298" s="487"/>
      <c r="S298" s="487"/>
      <c r="T298" s="487"/>
      <c r="U298" s="487"/>
      <c r="V298" s="487"/>
      <c r="W298" s="487"/>
      <c r="X298" s="487"/>
      <c r="Y298" s="487"/>
      <c r="Z298" s="487"/>
      <c r="AA298" s="487"/>
      <c r="AB298" s="487"/>
      <c r="AC298" s="487"/>
      <c r="AD298" s="487"/>
      <c r="AE298" s="487"/>
    </row>
    <row r="299" spans="2:31" s="103" customFormat="1" ht="10.9" customHeight="1" x14ac:dyDescent="0.15">
      <c r="B299" s="190"/>
      <c r="R299" s="487"/>
      <c r="S299" s="487"/>
      <c r="T299" s="487"/>
      <c r="U299" s="487"/>
      <c r="V299" s="487"/>
      <c r="W299" s="487"/>
      <c r="X299" s="487"/>
      <c r="Y299" s="487"/>
      <c r="Z299" s="487"/>
      <c r="AA299" s="487"/>
      <c r="AB299" s="487"/>
      <c r="AC299" s="487"/>
      <c r="AD299" s="487"/>
      <c r="AE299" s="487"/>
    </row>
    <row r="300" spans="2:31" s="103" customFormat="1" ht="10.9" customHeight="1" x14ac:dyDescent="0.15">
      <c r="B300" s="190"/>
      <c r="R300" s="487"/>
      <c r="S300" s="487"/>
      <c r="T300" s="487"/>
      <c r="U300" s="487"/>
      <c r="V300" s="487"/>
      <c r="W300" s="487"/>
      <c r="X300" s="487"/>
      <c r="Y300" s="487"/>
      <c r="Z300" s="487"/>
      <c r="AA300" s="487"/>
      <c r="AB300" s="487"/>
      <c r="AC300" s="487"/>
      <c r="AD300" s="487"/>
      <c r="AE300" s="487"/>
    </row>
    <row r="301" spans="2:31" s="103" customFormat="1" ht="10.9" customHeight="1" x14ac:dyDescent="0.15">
      <c r="B301" s="190"/>
      <c r="R301" s="487"/>
      <c r="S301" s="487"/>
      <c r="T301" s="487"/>
      <c r="U301" s="487"/>
      <c r="V301" s="487"/>
      <c r="W301" s="487"/>
      <c r="X301" s="487"/>
      <c r="Y301" s="487"/>
      <c r="Z301" s="487"/>
      <c r="AA301" s="487"/>
      <c r="AB301" s="487"/>
      <c r="AC301" s="487"/>
      <c r="AD301" s="487"/>
      <c r="AE301" s="487"/>
    </row>
    <row r="302" spans="2:31" s="103" customFormat="1" ht="10.9" customHeight="1" x14ac:dyDescent="0.15">
      <c r="B302" s="190"/>
      <c r="R302" s="487"/>
      <c r="S302" s="487"/>
      <c r="T302" s="487"/>
      <c r="U302" s="487"/>
      <c r="V302" s="487"/>
      <c r="W302" s="487"/>
      <c r="X302" s="487"/>
      <c r="Y302" s="487"/>
      <c r="Z302" s="487"/>
      <c r="AA302" s="487"/>
      <c r="AB302" s="487"/>
      <c r="AC302" s="487"/>
      <c r="AD302" s="487"/>
      <c r="AE302" s="487"/>
    </row>
    <row r="303" spans="2:31" s="103" customFormat="1" ht="10.9" customHeight="1" x14ac:dyDescent="0.15">
      <c r="B303" s="190"/>
      <c r="R303" s="487"/>
      <c r="S303" s="487"/>
      <c r="T303" s="487"/>
      <c r="U303" s="487"/>
      <c r="V303" s="487"/>
      <c r="W303" s="487"/>
      <c r="X303" s="487"/>
      <c r="Y303" s="487"/>
      <c r="Z303" s="487"/>
      <c r="AA303" s="487"/>
      <c r="AB303" s="487"/>
      <c r="AC303" s="487"/>
      <c r="AD303" s="487"/>
      <c r="AE303" s="487"/>
    </row>
    <row r="304" spans="2:31" s="103" customFormat="1" ht="10.9" customHeight="1" x14ac:dyDescent="0.15">
      <c r="B304" s="190"/>
      <c r="R304" s="487"/>
      <c r="S304" s="487"/>
      <c r="T304" s="487"/>
      <c r="U304" s="487"/>
      <c r="V304" s="487"/>
      <c r="W304" s="487"/>
      <c r="X304" s="487"/>
      <c r="Y304" s="487"/>
      <c r="Z304" s="487"/>
      <c r="AA304" s="487"/>
      <c r="AB304" s="487"/>
      <c r="AC304" s="487"/>
      <c r="AD304" s="487"/>
      <c r="AE304" s="487"/>
    </row>
    <row r="305" spans="2:31" s="103" customFormat="1" ht="10.9" customHeight="1" x14ac:dyDescent="0.15">
      <c r="B305" s="190"/>
      <c r="R305" s="487"/>
      <c r="S305" s="487"/>
      <c r="T305" s="487"/>
      <c r="U305" s="487"/>
      <c r="V305" s="487"/>
      <c r="W305" s="487"/>
      <c r="X305" s="487"/>
      <c r="Y305" s="487"/>
      <c r="Z305" s="487"/>
      <c r="AA305" s="487"/>
      <c r="AB305" s="487"/>
      <c r="AC305" s="487"/>
      <c r="AD305" s="487"/>
      <c r="AE305" s="487"/>
    </row>
    <row r="306" spans="2:31" s="103" customFormat="1" ht="10.9" customHeight="1" x14ac:dyDescent="0.15">
      <c r="B306" s="190"/>
      <c r="R306" s="487"/>
      <c r="S306" s="487"/>
      <c r="T306" s="487"/>
      <c r="U306" s="487"/>
      <c r="V306" s="487"/>
      <c r="W306" s="487"/>
      <c r="X306" s="487"/>
      <c r="Y306" s="487"/>
      <c r="Z306" s="487"/>
      <c r="AA306" s="487"/>
      <c r="AB306" s="487"/>
      <c r="AC306" s="487"/>
      <c r="AD306" s="487"/>
      <c r="AE306" s="487"/>
    </row>
    <row r="307" spans="2:31" s="103" customFormat="1" ht="10.9" customHeight="1" x14ac:dyDescent="0.15">
      <c r="B307" s="190"/>
      <c r="R307" s="487"/>
      <c r="S307" s="487"/>
      <c r="T307" s="487"/>
      <c r="U307" s="487"/>
      <c r="V307" s="487"/>
      <c r="W307" s="487"/>
      <c r="X307" s="487"/>
      <c r="Y307" s="487"/>
      <c r="Z307" s="487"/>
      <c r="AA307" s="487"/>
      <c r="AB307" s="487"/>
      <c r="AC307" s="487"/>
      <c r="AD307" s="487"/>
      <c r="AE307" s="487"/>
    </row>
    <row r="308" spans="2:31" s="103" customFormat="1" ht="10.9" customHeight="1" x14ac:dyDescent="0.15">
      <c r="B308" s="190"/>
      <c r="R308" s="487"/>
      <c r="S308" s="487"/>
      <c r="T308" s="487"/>
      <c r="U308" s="487"/>
      <c r="V308" s="487"/>
      <c r="W308" s="487"/>
      <c r="X308" s="487"/>
      <c r="Y308" s="487"/>
      <c r="Z308" s="487"/>
      <c r="AA308" s="487"/>
      <c r="AB308" s="487"/>
      <c r="AC308" s="487"/>
      <c r="AD308" s="487"/>
      <c r="AE308" s="487"/>
    </row>
    <row r="309" spans="2:31" s="103" customFormat="1" ht="10.9" customHeight="1" x14ac:dyDescent="0.15">
      <c r="B309" s="190"/>
      <c r="R309" s="487"/>
      <c r="S309" s="487"/>
      <c r="T309" s="487"/>
      <c r="U309" s="487"/>
      <c r="V309" s="487"/>
      <c r="W309" s="487"/>
      <c r="X309" s="487"/>
      <c r="Y309" s="487"/>
      <c r="Z309" s="487"/>
      <c r="AA309" s="487"/>
      <c r="AB309" s="487"/>
      <c r="AC309" s="487"/>
      <c r="AD309" s="487"/>
      <c r="AE309" s="487"/>
    </row>
    <row r="310" spans="2:31" s="103" customFormat="1" ht="10.9" customHeight="1" x14ac:dyDescent="0.15">
      <c r="B310" s="190"/>
      <c r="R310" s="487"/>
      <c r="S310" s="487"/>
      <c r="T310" s="487"/>
      <c r="U310" s="487"/>
      <c r="V310" s="487"/>
      <c r="W310" s="487"/>
      <c r="X310" s="487"/>
      <c r="Y310" s="487"/>
      <c r="Z310" s="487"/>
      <c r="AA310" s="487"/>
      <c r="AB310" s="487"/>
      <c r="AC310" s="487"/>
      <c r="AD310" s="487"/>
      <c r="AE310" s="487"/>
    </row>
    <row r="311" spans="2:31" s="103" customFormat="1" ht="10.9" customHeight="1" x14ac:dyDescent="0.15">
      <c r="B311" s="190"/>
      <c r="R311" s="487"/>
      <c r="S311" s="487"/>
      <c r="T311" s="487"/>
      <c r="U311" s="487"/>
      <c r="V311" s="487"/>
      <c r="W311" s="487"/>
      <c r="X311" s="487"/>
      <c r="Y311" s="487"/>
      <c r="Z311" s="487"/>
      <c r="AA311" s="487"/>
      <c r="AB311" s="487"/>
      <c r="AC311" s="487"/>
      <c r="AD311" s="487"/>
      <c r="AE311" s="487"/>
    </row>
    <row r="312" spans="2:31" s="103" customFormat="1" ht="10.9" customHeight="1" x14ac:dyDescent="0.15">
      <c r="B312" s="190"/>
      <c r="R312" s="487"/>
      <c r="S312" s="487"/>
      <c r="T312" s="487"/>
      <c r="U312" s="487"/>
      <c r="V312" s="487"/>
      <c r="W312" s="487"/>
      <c r="X312" s="487"/>
      <c r="Y312" s="487"/>
      <c r="Z312" s="487"/>
      <c r="AA312" s="487"/>
      <c r="AB312" s="487"/>
      <c r="AC312" s="487"/>
      <c r="AD312" s="487"/>
      <c r="AE312" s="487"/>
    </row>
    <row r="313" spans="2:31" s="103" customFormat="1" ht="10.9" customHeight="1" x14ac:dyDescent="0.15">
      <c r="B313" s="190"/>
      <c r="R313" s="487"/>
      <c r="S313" s="487"/>
      <c r="T313" s="487"/>
      <c r="U313" s="487"/>
      <c r="V313" s="487"/>
      <c r="W313" s="487"/>
      <c r="X313" s="487"/>
      <c r="Y313" s="487"/>
      <c r="Z313" s="487"/>
      <c r="AA313" s="487"/>
      <c r="AB313" s="487"/>
      <c r="AC313" s="487"/>
      <c r="AD313" s="487"/>
      <c r="AE313" s="487"/>
    </row>
    <row r="314" spans="2:31" s="103" customFormat="1" ht="10.9" customHeight="1" x14ac:dyDescent="0.15">
      <c r="B314" s="190"/>
      <c r="R314" s="487"/>
      <c r="S314" s="487"/>
      <c r="T314" s="487"/>
      <c r="U314" s="487"/>
      <c r="V314" s="487"/>
      <c r="W314" s="487"/>
      <c r="X314" s="487"/>
      <c r="Y314" s="487"/>
      <c r="Z314" s="487"/>
      <c r="AA314" s="487"/>
      <c r="AB314" s="487"/>
      <c r="AC314" s="487"/>
      <c r="AD314" s="487"/>
      <c r="AE314" s="487"/>
    </row>
    <row r="315" spans="2:31" s="103" customFormat="1" ht="10.9" customHeight="1" x14ac:dyDescent="0.15">
      <c r="B315" s="190"/>
      <c r="R315" s="487"/>
      <c r="S315" s="487"/>
      <c r="T315" s="487"/>
      <c r="U315" s="487"/>
      <c r="V315" s="487"/>
      <c r="W315" s="487"/>
      <c r="X315" s="487"/>
      <c r="Y315" s="487"/>
      <c r="Z315" s="487"/>
      <c r="AA315" s="487"/>
      <c r="AB315" s="487"/>
      <c r="AC315" s="487"/>
      <c r="AD315" s="487"/>
      <c r="AE315" s="487"/>
    </row>
    <row r="316" spans="2:31" s="103" customFormat="1" ht="10.9" customHeight="1" x14ac:dyDescent="0.15">
      <c r="B316" s="190"/>
      <c r="R316" s="487"/>
      <c r="S316" s="487"/>
      <c r="T316" s="487"/>
      <c r="U316" s="487"/>
      <c r="V316" s="487"/>
      <c r="W316" s="487"/>
      <c r="X316" s="487"/>
      <c r="Y316" s="487"/>
      <c r="Z316" s="487"/>
      <c r="AA316" s="487"/>
      <c r="AB316" s="487"/>
      <c r="AC316" s="487"/>
      <c r="AD316" s="487"/>
      <c r="AE316" s="487"/>
    </row>
    <row r="317" spans="2:31" s="103" customFormat="1" ht="10.9" customHeight="1" x14ac:dyDescent="0.15">
      <c r="B317" s="190"/>
      <c r="R317" s="487"/>
      <c r="S317" s="487"/>
      <c r="T317" s="487"/>
      <c r="U317" s="487"/>
      <c r="V317" s="487"/>
      <c r="W317" s="487"/>
      <c r="X317" s="487"/>
      <c r="Y317" s="487"/>
      <c r="Z317" s="487"/>
      <c r="AA317" s="487"/>
      <c r="AB317" s="487"/>
      <c r="AC317" s="487"/>
      <c r="AD317" s="487"/>
      <c r="AE317" s="487"/>
    </row>
    <row r="318" spans="2:31" s="103" customFormat="1" ht="10.9" customHeight="1" x14ac:dyDescent="0.15">
      <c r="B318" s="190"/>
      <c r="R318" s="487"/>
      <c r="S318" s="487"/>
      <c r="T318" s="487"/>
      <c r="U318" s="487"/>
      <c r="V318" s="487"/>
      <c r="W318" s="487"/>
      <c r="X318" s="487"/>
      <c r="Y318" s="487"/>
      <c r="Z318" s="487"/>
      <c r="AA318" s="487"/>
      <c r="AB318" s="487"/>
      <c r="AC318" s="487"/>
      <c r="AD318" s="487"/>
      <c r="AE318" s="487"/>
    </row>
    <row r="319" spans="2:31" s="103" customFormat="1" ht="10.9" customHeight="1" x14ac:dyDescent="0.15">
      <c r="B319" s="190"/>
      <c r="R319" s="487"/>
      <c r="S319" s="487"/>
      <c r="T319" s="487"/>
      <c r="U319" s="487"/>
      <c r="V319" s="487"/>
      <c r="W319" s="487"/>
      <c r="X319" s="487"/>
      <c r="Y319" s="487"/>
      <c r="Z319" s="487"/>
      <c r="AA319" s="487"/>
      <c r="AB319" s="487"/>
      <c r="AC319" s="487"/>
      <c r="AD319" s="487"/>
      <c r="AE319" s="487"/>
    </row>
    <row r="320" spans="2:31" s="103" customFormat="1" ht="10.9" customHeight="1" x14ac:dyDescent="0.15">
      <c r="B320" s="190"/>
      <c r="R320" s="487"/>
      <c r="S320" s="487"/>
      <c r="T320" s="487"/>
      <c r="U320" s="487"/>
      <c r="V320" s="487"/>
      <c r="W320" s="487"/>
      <c r="X320" s="487"/>
      <c r="Y320" s="487"/>
      <c r="Z320" s="487"/>
      <c r="AA320" s="487"/>
      <c r="AB320" s="487"/>
      <c r="AC320" s="487"/>
      <c r="AD320" s="487"/>
      <c r="AE320" s="487"/>
    </row>
    <row r="321" spans="2:31" s="103" customFormat="1" ht="10.9" customHeight="1" x14ac:dyDescent="0.15">
      <c r="B321" s="190"/>
      <c r="R321" s="487"/>
      <c r="S321" s="487"/>
      <c r="T321" s="487"/>
      <c r="U321" s="487"/>
      <c r="V321" s="487"/>
      <c r="W321" s="487"/>
      <c r="X321" s="487"/>
      <c r="Y321" s="487"/>
      <c r="Z321" s="487"/>
      <c r="AA321" s="487"/>
      <c r="AB321" s="487"/>
      <c r="AC321" s="487"/>
      <c r="AD321" s="487"/>
      <c r="AE321" s="487"/>
    </row>
    <row r="322" spans="2:31" s="103" customFormat="1" ht="10.9" customHeight="1" x14ac:dyDescent="0.15">
      <c r="B322" s="190"/>
      <c r="R322" s="487"/>
      <c r="S322" s="487"/>
      <c r="T322" s="487"/>
      <c r="U322" s="487"/>
      <c r="V322" s="487"/>
      <c r="W322" s="487"/>
      <c r="X322" s="487"/>
      <c r="Y322" s="487"/>
      <c r="Z322" s="487"/>
      <c r="AA322" s="487"/>
      <c r="AB322" s="487"/>
      <c r="AC322" s="487"/>
      <c r="AD322" s="487"/>
      <c r="AE322" s="487"/>
    </row>
    <row r="323" spans="2:31" s="103" customFormat="1" ht="10.9" customHeight="1" x14ac:dyDescent="0.15">
      <c r="B323" s="190"/>
      <c r="R323" s="487"/>
      <c r="S323" s="487"/>
      <c r="T323" s="487"/>
      <c r="U323" s="487"/>
      <c r="V323" s="487"/>
      <c r="W323" s="487"/>
      <c r="X323" s="487"/>
      <c r="Y323" s="487"/>
      <c r="Z323" s="487"/>
      <c r="AA323" s="487"/>
      <c r="AB323" s="487"/>
      <c r="AC323" s="487"/>
      <c r="AD323" s="487"/>
      <c r="AE323" s="487"/>
    </row>
    <row r="324" spans="2:31" s="103" customFormat="1" ht="10.9" customHeight="1" x14ac:dyDescent="0.15">
      <c r="B324" s="190"/>
      <c r="R324" s="487"/>
      <c r="S324" s="487"/>
      <c r="T324" s="487"/>
      <c r="U324" s="487"/>
      <c r="V324" s="487"/>
      <c r="W324" s="487"/>
      <c r="X324" s="487"/>
      <c r="Y324" s="487"/>
      <c r="Z324" s="487"/>
      <c r="AA324" s="487"/>
      <c r="AB324" s="487"/>
      <c r="AC324" s="487"/>
      <c r="AD324" s="487"/>
      <c r="AE324" s="487"/>
    </row>
    <row r="325" spans="2:31" s="103" customFormat="1" ht="10.9" customHeight="1" x14ac:dyDescent="0.15">
      <c r="B325" s="190"/>
      <c r="R325" s="487"/>
      <c r="S325" s="487"/>
      <c r="T325" s="487"/>
      <c r="U325" s="487"/>
      <c r="V325" s="487"/>
      <c r="W325" s="487"/>
      <c r="X325" s="487"/>
      <c r="Y325" s="487"/>
      <c r="Z325" s="487"/>
      <c r="AA325" s="487"/>
      <c r="AB325" s="487"/>
      <c r="AC325" s="487"/>
      <c r="AD325" s="487"/>
      <c r="AE325" s="487"/>
    </row>
    <row r="326" spans="2:31" s="103" customFormat="1" ht="10.9" customHeight="1" x14ac:dyDescent="0.15">
      <c r="B326" s="190"/>
      <c r="R326" s="487"/>
      <c r="S326" s="487"/>
      <c r="T326" s="487"/>
      <c r="U326" s="487"/>
      <c r="V326" s="487"/>
      <c r="W326" s="487"/>
      <c r="X326" s="487"/>
      <c r="Y326" s="487"/>
      <c r="Z326" s="487"/>
      <c r="AA326" s="487"/>
      <c r="AB326" s="487"/>
      <c r="AC326" s="487"/>
      <c r="AD326" s="487"/>
      <c r="AE326" s="487"/>
    </row>
    <row r="327" spans="2:31" s="103" customFormat="1" ht="10.9" customHeight="1" x14ac:dyDescent="0.15">
      <c r="B327" s="190"/>
      <c r="R327" s="487"/>
      <c r="S327" s="487"/>
      <c r="T327" s="487"/>
      <c r="U327" s="487"/>
      <c r="V327" s="487"/>
      <c r="W327" s="487"/>
      <c r="X327" s="487"/>
      <c r="Y327" s="487"/>
      <c r="Z327" s="487"/>
      <c r="AA327" s="487"/>
      <c r="AB327" s="487"/>
      <c r="AC327" s="487"/>
      <c r="AD327" s="487"/>
      <c r="AE327" s="487"/>
    </row>
    <row r="328" spans="2:31" s="103" customFormat="1" ht="10.9" customHeight="1" x14ac:dyDescent="0.15">
      <c r="B328" s="190"/>
      <c r="R328" s="487"/>
      <c r="S328" s="487"/>
      <c r="T328" s="487"/>
      <c r="U328" s="487"/>
      <c r="V328" s="487"/>
      <c r="W328" s="487"/>
      <c r="X328" s="487"/>
      <c r="Y328" s="487"/>
      <c r="Z328" s="487"/>
      <c r="AA328" s="487"/>
      <c r="AB328" s="487"/>
      <c r="AC328" s="487"/>
      <c r="AD328" s="487"/>
      <c r="AE328" s="487"/>
    </row>
    <row r="329" spans="2:31" s="103" customFormat="1" ht="10.9" customHeight="1" x14ac:dyDescent="0.15">
      <c r="B329" s="190"/>
      <c r="R329" s="487"/>
      <c r="S329" s="487"/>
      <c r="T329" s="487"/>
      <c r="U329" s="487"/>
      <c r="V329" s="487"/>
      <c r="W329" s="487"/>
      <c r="X329" s="487"/>
      <c r="Y329" s="487"/>
      <c r="Z329" s="487"/>
      <c r="AA329" s="487"/>
      <c r="AB329" s="487"/>
      <c r="AC329" s="487"/>
      <c r="AD329" s="487"/>
      <c r="AE329" s="487"/>
    </row>
    <row r="330" spans="2:31" s="103" customFormat="1" ht="10.9" customHeight="1" x14ac:dyDescent="0.15">
      <c r="B330" s="190"/>
      <c r="R330" s="487"/>
      <c r="S330" s="487"/>
      <c r="T330" s="487"/>
      <c r="U330" s="487"/>
      <c r="V330" s="487"/>
      <c r="W330" s="487"/>
      <c r="X330" s="487"/>
      <c r="Y330" s="487"/>
      <c r="Z330" s="487"/>
      <c r="AA330" s="487"/>
      <c r="AB330" s="487"/>
      <c r="AC330" s="487"/>
      <c r="AD330" s="487"/>
      <c r="AE330" s="487"/>
    </row>
    <row r="331" spans="2:31" s="103" customFormat="1" ht="10.9" customHeight="1" x14ac:dyDescent="0.15">
      <c r="B331" s="190"/>
      <c r="R331" s="487"/>
      <c r="S331" s="487"/>
      <c r="T331" s="487"/>
      <c r="U331" s="487"/>
      <c r="V331" s="487"/>
      <c r="W331" s="487"/>
      <c r="X331" s="487"/>
      <c r="Y331" s="487"/>
      <c r="Z331" s="487"/>
      <c r="AA331" s="487"/>
      <c r="AB331" s="487"/>
      <c r="AC331" s="487"/>
      <c r="AD331" s="487"/>
      <c r="AE331" s="487"/>
    </row>
    <row r="332" spans="2:31" s="103" customFormat="1" ht="10.9" customHeight="1" x14ac:dyDescent="0.15">
      <c r="B332" s="190"/>
      <c r="R332" s="487"/>
      <c r="S332" s="487"/>
      <c r="T332" s="487"/>
      <c r="U332" s="487"/>
      <c r="V332" s="487"/>
      <c r="W332" s="487"/>
      <c r="X332" s="487"/>
      <c r="Y332" s="487"/>
      <c r="Z332" s="487"/>
      <c r="AA332" s="487"/>
      <c r="AB332" s="487"/>
      <c r="AC332" s="487"/>
      <c r="AD332" s="487"/>
      <c r="AE332" s="487"/>
    </row>
    <row r="333" spans="2:31" s="103" customFormat="1" ht="10.9" customHeight="1" x14ac:dyDescent="0.15">
      <c r="B333" s="190"/>
      <c r="R333" s="487"/>
      <c r="S333" s="487"/>
      <c r="T333" s="487"/>
      <c r="U333" s="487"/>
      <c r="V333" s="487"/>
      <c r="W333" s="487"/>
      <c r="X333" s="487"/>
      <c r="Y333" s="487"/>
      <c r="Z333" s="487"/>
      <c r="AA333" s="487"/>
      <c r="AB333" s="487"/>
      <c r="AC333" s="487"/>
      <c r="AD333" s="487"/>
      <c r="AE333" s="487"/>
    </row>
    <row r="334" spans="2:31" s="103" customFormat="1" ht="10.9" customHeight="1" x14ac:dyDescent="0.15">
      <c r="B334" s="190"/>
      <c r="R334" s="487"/>
      <c r="S334" s="487"/>
      <c r="T334" s="487"/>
      <c r="U334" s="487"/>
      <c r="V334" s="487"/>
      <c r="W334" s="487"/>
      <c r="X334" s="487"/>
      <c r="Y334" s="487"/>
      <c r="Z334" s="487"/>
      <c r="AA334" s="487"/>
      <c r="AB334" s="487"/>
      <c r="AC334" s="487"/>
      <c r="AD334" s="487"/>
      <c r="AE334" s="487"/>
    </row>
    <row r="335" spans="2:31" s="103" customFormat="1" ht="10.9" customHeight="1" x14ac:dyDescent="0.15">
      <c r="B335" s="190"/>
      <c r="R335" s="487"/>
      <c r="S335" s="487"/>
      <c r="T335" s="487"/>
      <c r="U335" s="487"/>
      <c r="V335" s="487"/>
      <c r="W335" s="487"/>
      <c r="X335" s="487"/>
      <c r="Y335" s="487"/>
      <c r="Z335" s="487"/>
      <c r="AA335" s="487"/>
      <c r="AB335" s="487"/>
      <c r="AC335" s="487"/>
      <c r="AD335" s="487"/>
      <c r="AE335" s="487"/>
    </row>
    <row r="336" spans="2:31" s="103" customFormat="1" ht="10.9" customHeight="1" x14ac:dyDescent="0.15">
      <c r="B336" s="190"/>
      <c r="R336" s="487"/>
      <c r="S336" s="487"/>
      <c r="T336" s="487"/>
      <c r="U336" s="487"/>
      <c r="V336" s="487"/>
      <c r="W336" s="487"/>
      <c r="X336" s="487"/>
      <c r="Y336" s="487"/>
      <c r="Z336" s="487"/>
      <c r="AA336" s="487"/>
      <c r="AB336" s="487"/>
      <c r="AC336" s="487"/>
      <c r="AD336" s="487"/>
      <c r="AE336" s="487"/>
    </row>
    <row r="337" spans="2:31" s="103" customFormat="1" ht="10.9" customHeight="1" x14ac:dyDescent="0.15">
      <c r="B337" s="190"/>
      <c r="R337" s="487"/>
      <c r="S337" s="487"/>
      <c r="T337" s="487"/>
      <c r="U337" s="487"/>
      <c r="V337" s="487"/>
      <c r="W337" s="487"/>
      <c r="X337" s="487"/>
      <c r="Y337" s="487"/>
      <c r="Z337" s="487"/>
      <c r="AA337" s="487"/>
      <c r="AB337" s="487"/>
      <c r="AC337" s="487"/>
      <c r="AD337" s="487"/>
      <c r="AE337" s="487"/>
    </row>
    <row r="338" spans="2:31" s="103" customFormat="1" ht="10.9" customHeight="1" x14ac:dyDescent="0.15">
      <c r="B338" s="190"/>
      <c r="R338" s="487"/>
      <c r="S338" s="487"/>
      <c r="T338" s="487"/>
      <c r="U338" s="487"/>
      <c r="V338" s="487"/>
      <c r="W338" s="487"/>
      <c r="X338" s="487"/>
      <c r="Y338" s="487"/>
      <c r="Z338" s="487"/>
      <c r="AA338" s="487"/>
      <c r="AB338" s="487"/>
      <c r="AC338" s="487"/>
      <c r="AD338" s="487"/>
      <c r="AE338" s="487"/>
    </row>
    <row r="339" spans="2:31" s="103" customFormat="1" ht="10.9" customHeight="1" x14ac:dyDescent="0.15">
      <c r="B339" s="190"/>
      <c r="R339" s="487"/>
      <c r="S339" s="487"/>
      <c r="T339" s="487"/>
      <c r="U339" s="487"/>
      <c r="V339" s="487"/>
      <c r="W339" s="487"/>
      <c r="X339" s="487"/>
      <c r="Y339" s="487"/>
      <c r="Z339" s="487"/>
      <c r="AA339" s="487"/>
      <c r="AB339" s="487"/>
      <c r="AC339" s="487"/>
      <c r="AD339" s="487"/>
      <c r="AE339" s="487"/>
    </row>
    <row r="340" spans="2:31" s="103" customFormat="1" ht="10.9" customHeight="1" x14ac:dyDescent="0.15">
      <c r="B340" s="190"/>
      <c r="R340" s="487"/>
      <c r="S340" s="487"/>
      <c r="T340" s="487"/>
      <c r="U340" s="487"/>
      <c r="V340" s="487"/>
      <c r="W340" s="487"/>
      <c r="X340" s="487"/>
      <c r="Y340" s="487"/>
      <c r="Z340" s="487"/>
      <c r="AA340" s="487"/>
      <c r="AB340" s="487"/>
      <c r="AC340" s="487"/>
      <c r="AD340" s="487"/>
      <c r="AE340" s="487"/>
    </row>
    <row r="341" spans="2:31" s="103" customFormat="1" ht="10.9" customHeight="1" x14ac:dyDescent="0.15">
      <c r="B341" s="190"/>
      <c r="R341" s="487"/>
      <c r="S341" s="487"/>
      <c r="T341" s="487"/>
      <c r="U341" s="487"/>
      <c r="V341" s="487"/>
      <c r="W341" s="487"/>
      <c r="X341" s="487"/>
      <c r="Y341" s="487"/>
      <c r="Z341" s="487"/>
      <c r="AA341" s="487"/>
      <c r="AB341" s="487"/>
      <c r="AC341" s="487"/>
      <c r="AD341" s="487"/>
      <c r="AE341" s="487"/>
    </row>
    <row r="342" spans="2:31" s="103" customFormat="1" ht="10.9" customHeight="1" x14ac:dyDescent="0.15">
      <c r="B342" s="190"/>
      <c r="R342" s="487"/>
      <c r="S342" s="487"/>
      <c r="T342" s="487"/>
      <c r="U342" s="487"/>
      <c r="V342" s="487"/>
      <c r="W342" s="487"/>
      <c r="X342" s="487"/>
      <c r="Y342" s="487"/>
      <c r="Z342" s="487"/>
      <c r="AA342" s="487"/>
      <c r="AB342" s="487"/>
      <c r="AC342" s="487"/>
      <c r="AD342" s="487"/>
      <c r="AE342" s="487"/>
    </row>
    <row r="343" spans="2:31" s="103" customFormat="1" ht="10.9" customHeight="1" x14ac:dyDescent="0.15">
      <c r="B343" s="190"/>
      <c r="R343" s="487"/>
      <c r="S343" s="487"/>
      <c r="T343" s="487"/>
      <c r="U343" s="487"/>
      <c r="V343" s="487"/>
      <c r="W343" s="487"/>
      <c r="X343" s="487"/>
      <c r="Y343" s="487"/>
      <c r="Z343" s="487"/>
      <c r="AA343" s="487"/>
      <c r="AB343" s="487"/>
      <c r="AC343" s="487"/>
      <c r="AD343" s="487"/>
      <c r="AE343" s="487"/>
    </row>
    <row r="344" spans="2:31" s="103" customFormat="1" ht="10.9" customHeight="1" x14ac:dyDescent="0.15">
      <c r="B344" s="190"/>
      <c r="R344" s="487"/>
      <c r="S344" s="487"/>
      <c r="T344" s="487"/>
      <c r="U344" s="487"/>
      <c r="V344" s="487"/>
      <c r="W344" s="487"/>
      <c r="X344" s="487"/>
      <c r="Y344" s="487"/>
      <c r="Z344" s="487"/>
      <c r="AA344" s="487"/>
      <c r="AB344" s="487"/>
      <c r="AC344" s="487"/>
      <c r="AD344" s="487"/>
      <c r="AE344" s="487"/>
    </row>
    <row r="345" spans="2:31" s="103" customFormat="1" ht="10.9" customHeight="1" x14ac:dyDescent="0.15">
      <c r="B345" s="190"/>
      <c r="R345" s="487"/>
      <c r="S345" s="487"/>
      <c r="T345" s="487"/>
      <c r="U345" s="487"/>
      <c r="V345" s="487"/>
      <c r="W345" s="487"/>
      <c r="X345" s="487"/>
      <c r="Y345" s="487"/>
      <c r="Z345" s="487"/>
      <c r="AA345" s="487"/>
      <c r="AB345" s="487"/>
      <c r="AC345" s="487"/>
      <c r="AD345" s="487"/>
      <c r="AE345" s="487"/>
    </row>
    <row r="346" spans="2:31" s="103" customFormat="1" ht="10.9" customHeight="1" x14ac:dyDescent="0.15">
      <c r="B346" s="190"/>
      <c r="R346" s="487"/>
      <c r="S346" s="487"/>
      <c r="T346" s="487"/>
      <c r="U346" s="487"/>
      <c r="V346" s="487"/>
      <c r="W346" s="487"/>
      <c r="X346" s="487"/>
      <c r="Y346" s="487"/>
      <c r="Z346" s="487"/>
      <c r="AA346" s="487"/>
      <c r="AB346" s="487"/>
      <c r="AC346" s="487"/>
      <c r="AD346" s="487"/>
      <c r="AE346" s="487"/>
    </row>
    <row r="347" spans="2:31" s="103" customFormat="1" ht="10.9" customHeight="1" x14ac:dyDescent="0.15">
      <c r="B347" s="190"/>
      <c r="R347" s="487"/>
      <c r="S347" s="487"/>
      <c r="T347" s="487"/>
      <c r="U347" s="487"/>
      <c r="V347" s="487"/>
      <c r="W347" s="487"/>
      <c r="X347" s="487"/>
      <c r="Y347" s="487"/>
      <c r="Z347" s="487"/>
      <c r="AA347" s="487"/>
      <c r="AB347" s="487"/>
      <c r="AC347" s="487"/>
      <c r="AD347" s="487"/>
      <c r="AE347" s="487"/>
    </row>
    <row r="348" spans="2:31" s="103" customFormat="1" ht="10.9" customHeight="1" x14ac:dyDescent="0.15">
      <c r="B348" s="190"/>
      <c r="R348" s="487"/>
      <c r="S348" s="487"/>
      <c r="T348" s="487"/>
      <c r="U348" s="487"/>
      <c r="V348" s="487"/>
      <c r="W348" s="487"/>
      <c r="X348" s="487"/>
      <c r="Y348" s="487"/>
      <c r="Z348" s="487"/>
      <c r="AA348" s="487"/>
      <c r="AB348" s="487"/>
      <c r="AC348" s="487"/>
      <c r="AD348" s="487"/>
      <c r="AE348" s="487"/>
    </row>
    <row r="349" spans="2:31" s="103" customFormat="1" ht="10.9" customHeight="1" x14ac:dyDescent="0.15">
      <c r="B349" s="190"/>
      <c r="R349" s="487"/>
      <c r="S349" s="487"/>
      <c r="T349" s="487"/>
      <c r="U349" s="487"/>
      <c r="V349" s="487"/>
      <c r="W349" s="487"/>
      <c r="X349" s="487"/>
      <c r="Y349" s="487"/>
      <c r="Z349" s="487"/>
      <c r="AA349" s="487"/>
      <c r="AB349" s="487"/>
      <c r="AC349" s="487"/>
      <c r="AD349" s="487"/>
      <c r="AE349" s="487"/>
    </row>
    <row r="350" spans="2:31" s="103" customFormat="1" ht="10.9" customHeight="1" x14ac:dyDescent="0.15">
      <c r="B350" s="190"/>
      <c r="R350" s="487"/>
      <c r="S350" s="487"/>
      <c r="T350" s="487"/>
      <c r="U350" s="487"/>
      <c r="V350" s="487"/>
      <c r="W350" s="487"/>
      <c r="X350" s="487"/>
      <c r="Y350" s="487"/>
      <c r="Z350" s="487"/>
      <c r="AA350" s="487"/>
      <c r="AB350" s="487"/>
      <c r="AC350" s="487"/>
      <c r="AD350" s="487"/>
      <c r="AE350" s="487"/>
    </row>
    <row r="351" spans="2:31" s="103" customFormat="1" ht="10.9" customHeight="1" x14ac:dyDescent="0.15">
      <c r="B351" s="190"/>
      <c r="R351" s="487"/>
      <c r="S351" s="487"/>
      <c r="T351" s="487"/>
      <c r="U351" s="487"/>
      <c r="V351" s="487"/>
      <c r="W351" s="487"/>
      <c r="X351" s="487"/>
      <c r="Y351" s="487"/>
      <c r="Z351" s="487"/>
      <c r="AA351" s="487"/>
      <c r="AB351" s="487"/>
      <c r="AC351" s="487"/>
      <c r="AD351" s="487"/>
      <c r="AE351" s="487"/>
    </row>
    <row r="352" spans="2:31" s="103" customFormat="1" ht="10.9" customHeight="1" x14ac:dyDescent="0.15">
      <c r="B352" s="190"/>
      <c r="R352" s="487"/>
      <c r="S352" s="487"/>
      <c r="T352" s="487"/>
      <c r="U352" s="487"/>
      <c r="V352" s="487"/>
      <c r="W352" s="487"/>
      <c r="X352" s="487"/>
      <c r="Y352" s="487"/>
      <c r="Z352" s="487"/>
      <c r="AA352" s="487"/>
      <c r="AB352" s="487"/>
      <c r="AC352" s="487"/>
      <c r="AD352" s="487"/>
      <c r="AE352" s="487"/>
    </row>
    <row r="353" spans="2:31" s="103" customFormat="1" ht="10.9" customHeight="1" x14ac:dyDescent="0.15">
      <c r="B353" s="190"/>
      <c r="R353" s="487"/>
      <c r="S353" s="487"/>
      <c r="T353" s="487"/>
      <c r="U353" s="487"/>
      <c r="V353" s="487"/>
      <c r="W353" s="487"/>
      <c r="X353" s="487"/>
      <c r="Y353" s="487"/>
      <c r="Z353" s="487"/>
      <c r="AA353" s="487"/>
      <c r="AB353" s="487"/>
      <c r="AC353" s="487"/>
      <c r="AD353" s="487"/>
      <c r="AE353" s="487"/>
    </row>
    <row r="354" spans="2:31" s="103" customFormat="1" ht="10.9" customHeight="1" x14ac:dyDescent="0.15">
      <c r="B354" s="190"/>
      <c r="R354" s="487"/>
      <c r="S354" s="487"/>
      <c r="T354" s="487"/>
      <c r="U354" s="487"/>
      <c r="V354" s="487"/>
      <c r="W354" s="487"/>
      <c r="X354" s="487"/>
      <c r="Y354" s="487"/>
      <c r="Z354" s="487"/>
      <c r="AA354" s="487"/>
      <c r="AB354" s="487"/>
      <c r="AC354" s="487"/>
      <c r="AD354" s="487"/>
      <c r="AE354" s="487"/>
    </row>
    <row r="355" spans="2:31" s="103" customFormat="1" ht="10.9" customHeight="1" x14ac:dyDescent="0.15">
      <c r="B355" s="190"/>
      <c r="R355" s="487"/>
      <c r="S355" s="487"/>
      <c r="T355" s="487"/>
      <c r="U355" s="487"/>
      <c r="V355" s="487"/>
      <c r="W355" s="487"/>
      <c r="X355" s="487"/>
      <c r="Y355" s="487"/>
      <c r="Z355" s="487"/>
      <c r="AA355" s="487"/>
      <c r="AB355" s="487"/>
      <c r="AC355" s="487"/>
      <c r="AD355" s="487"/>
      <c r="AE355" s="487"/>
    </row>
    <row r="356" spans="2:31" s="103" customFormat="1" ht="10.9" customHeight="1" x14ac:dyDescent="0.15">
      <c r="B356" s="190"/>
      <c r="R356" s="487"/>
      <c r="S356" s="487"/>
      <c r="T356" s="487"/>
      <c r="U356" s="487"/>
      <c r="V356" s="487"/>
      <c r="W356" s="487"/>
      <c r="X356" s="487"/>
      <c r="Y356" s="487"/>
      <c r="Z356" s="487"/>
      <c r="AA356" s="487"/>
      <c r="AB356" s="487"/>
      <c r="AC356" s="487"/>
      <c r="AD356" s="487"/>
      <c r="AE356" s="487"/>
    </row>
    <row r="357" spans="2:31" s="103" customFormat="1" ht="10.9" customHeight="1" x14ac:dyDescent="0.15">
      <c r="B357" s="190"/>
      <c r="R357" s="487"/>
      <c r="S357" s="487"/>
      <c r="T357" s="487"/>
      <c r="U357" s="487"/>
      <c r="V357" s="487"/>
      <c r="W357" s="487"/>
      <c r="X357" s="487"/>
      <c r="Y357" s="487"/>
      <c r="Z357" s="487"/>
      <c r="AA357" s="487"/>
      <c r="AB357" s="487"/>
      <c r="AC357" s="487"/>
      <c r="AD357" s="487"/>
      <c r="AE357" s="487"/>
    </row>
    <row r="358" spans="2:31" s="103" customFormat="1" ht="10.9" customHeight="1" x14ac:dyDescent="0.15">
      <c r="B358" s="190"/>
      <c r="R358" s="487"/>
      <c r="S358" s="487"/>
      <c r="T358" s="487"/>
      <c r="U358" s="487"/>
      <c r="V358" s="487"/>
      <c r="W358" s="487"/>
      <c r="X358" s="487"/>
      <c r="Y358" s="487"/>
      <c r="Z358" s="487"/>
      <c r="AA358" s="487"/>
      <c r="AB358" s="487"/>
      <c r="AC358" s="487"/>
      <c r="AD358" s="487"/>
      <c r="AE358" s="487"/>
    </row>
  </sheetData>
  <sheetProtection password="EECE" sheet="1" objects="1" scenarios="1" formatCells="0" formatColumns="0" formatRows="0"/>
  <customSheetViews>
    <customSheetView guid="{C3088B2E-F853-4D7E-B687-C6500891DFCB}" scale="78" showPageBreaks="1" fitToPage="1" printArea="1">
      <pane xSplit="3" ySplit="6" topLeftCell="D52" activePane="bottomRight" state="frozen"/>
      <selection pane="bottomRight" activeCell="H10" sqref="H10"/>
      <rowBreaks count="1" manualBreakCount="1">
        <brk id="99" max="12" man="1"/>
      </rowBreaks>
      <pageMargins left="0.47244094488188998" right="0.47244094488188998" top="0.59055118110236204" bottom="0.59055118110236204" header="0.39370078740157499" footer="0.39370078740157499"/>
      <pageSetup scale="81" fitToHeight="0" orientation="landscape" r:id="rId1"/>
      <headerFooter alignWithMargins="0">
        <oddFooter>&amp;L&amp;8&amp;D  &amp;T&amp;R&amp;8March 2014, Version 0.2</oddFooter>
      </headerFooter>
    </customSheetView>
    <customSheetView guid="{F866C9B2-56BF-4FE4-B270-CC8FE15A5892}" scale="110" showPageBreaks="1" fitToPage="1" printArea="1">
      <pane xSplit="3" ySplit="6" topLeftCell="D49" activePane="bottomRight" state="frozen"/>
      <selection pane="bottomRight" activeCell="L58" sqref="L58"/>
      <rowBreaks count="1" manualBreakCount="1">
        <brk id="99" max="12" man="1"/>
      </rowBreaks>
      <pageMargins left="0.47244094488188998" right="0.47244094488188998" top="0.59055118110236204" bottom="0.59055118110236204" header="0.39370078740157499" footer="0.39370078740157499"/>
      <pageSetup scale="80" fitToHeight="0" orientation="landscape" r:id="rId2"/>
      <headerFooter alignWithMargins="0">
        <oddFooter>&amp;L&amp;8&amp;D  &amp;T&amp;R&amp;8March 2014, Version 0.2</oddFooter>
      </headerFooter>
    </customSheetView>
    <customSheetView guid="{D66484CB-9D53-43A1-A83D-11534BC40BF6}" scale="110" showPageBreaks="1" fitToPage="1" printArea="1">
      <pane xSplit="3" ySplit="6" topLeftCell="D7" activePane="bottomRight" state="frozen"/>
      <selection pane="bottomRight" activeCell="E15" sqref="E15"/>
      <rowBreaks count="1" manualBreakCount="1">
        <brk id="99" max="12" man="1"/>
      </rowBreaks>
      <pageMargins left="0.47244094488188998" right="0.47244094488188998" top="0.59055118110236204" bottom="0.59055118110236204" header="0.39370078740157499" footer="0.39370078740157499"/>
      <pageSetup scale="80" fitToHeight="0" orientation="landscape" r:id="rId3"/>
      <headerFooter alignWithMargins="0">
        <oddFooter>&amp;L&amp;8&amp;D  &amp;T&amp;R&amp;8March 2014, Version 0.2</oddFooter>
      </headerFooter>
    </customSheetView>
  </customSheetViews>
  <mergeCells count="12">
    <mergeCell ref="G1:M1"/>
    <mergeCell ref="F2:N2"/>
    <mergeCell ref="P4:Q4"/>
    <mergeCell ref="K4:K5"/>
    <mergeCell ref="L4:L5"/>
    <mergeCell ref="M4:M5"/>
    <mergeCell ref="J4:J5"/>
    <mergeCell ref="B4:C5"/>
    <mergeCell ref="G3:H3"/>
    <mergeCell ref="E4:H4"/>
    <mergeCell ref="I4:I5"/>
    <mergeCell ref="N3:N5"/>
  </mergeCells>
  <conditionalFormatting sqref="P8:Q114">
    <cfRule type="containsText" dxfId="289" priority="22" operator="containsText" text="NV">
      <formula>NOT(ISERROR(SEARCH("NV",P8)))</formula>
    </cfRule>
    <cfRule type="cellIs" dxfId="288" priority="26" operator="lessThan">
      <formula>-0.1</formula>
    </cfRule>
    <cfRule type="cellIs" dxfId="287" priority="27" operator="greaterThan">
      <formula>0.1</formula>
    </cfRule>
  </conditionalFormatting>
  <conditionalFormatting sqref="E117:N141">
    <cfRule type="cellIs" dxfId="286" priority="24" operator="lessThan">
      <formula>-0.5</formula>
    </cfRule>
    <cfRule type="cellIs" dxfId="285" priority="25" operator="greaterThan">
      <formula>0.5</formula>
    </cfRule>
  </conditionalFormatting>
  <conditionalFormatting sqref="E118:N141">
    <cfRule type="cellIs" dxfId="284" priority="18" operator="lessThan">
      <formula>-0.1</formula>
    </cfRule>
    <cfRule type="cellIs" dxfId="283" priority="19" operator="greaterThan">
      <formula>0.1</formula>
    </cfRule>
  </conditionalFormatting>
  <conditionalFormatting sqref="E142:N151 E155:N164 E152:F154 M152:N154">
    <cfRule type="containsText" dxfId="282" priority="20" operator="containsText" text="Vérifier!">
      <formula>NOT(ISERROR(SEARCH("Vérifier!",E142)))</formula>
    </cfRule>
  </conditionalFormatting>
  <conditionalFormatting sqref="P8:Q89">
    <cfRule type="cellIs" dxfId="281" priority="14" operator="equal">
      <formula>"NA"</formula>
    </cfRule>
    <cfRule type="cellIs" dxfId="280" priority="15" operator="between">
      <formula>-0.1</formula>
      <formula>0.1</formula>
    </cfRule>
  </conditionalFormatting>
  <conditionalFormatting sqref="E118:N118 E120:N141">
    <cfRule type="cellIs" dxfId="279" priority="12" operator="equal">
      <formula>"NA"</formula>
    </cfRule>
    <cfRule type="cellIs" dxfId="278" priority="13" operator="between">
      <formula>-0.1</formula>
      <formula>0.1</formula>
    </cfRule>
  </conditionalFormatting>
  <conditionalFormatting sqref="G149:G151 L149:L151 G157:G163 M144:M147 L157:L163 L155 G155">
    <cfRule type="cellIs" dxfId="277" priority="11" operator="equal">
      <formula>"Oui"</formula>
    </cfRule>
  </conditionalFormatting>
  <conditionalFormatting sqref="G149:G151 L149:L151 G157:G163 M144:M147 L157:L163 L155 G155">
    <cfRule type="cellIs" dxfId="276" priority="10" operator="equal">
      <formula>"NA"</formula>
    </cfRule>
  </conditionalFormatting>
  <conditionalFormatting sqref="M144:M147 G149:G151 L149:L151 L155:L162 G155:G162">
    <cfRule type="containsText" dxfId="275" priority="8" operator="containsText" text="Verificar">
      <formula>NOT(ISERROR(SEARCH("Verificar",G144)))</formula>
    </cfRule>
    <cfRule type="containsText" dxfId="274" priority="9" operator="containsText" text="si">
      <formula>NOT(ISERROR(SEARCH("si",G144)))</formula>
    </cfRule>
  </conditionalFormatting>
  <conditionalFormatting sqref="M144:M147">
    <cfRule type="containsText" dxfId="273" priority="3" operator="containsText" text="si">
      <formula>NOT(ISERROR(SEARCH("si",M144)))</formula>
    </cfRule>
    <cfRule type="containsText" dxfId="272" priority="4" operator="containsText" text="v">
      <formula>NOT(ISERROR(SEARCH("v",M144)))</formula>
    </cfRule>
    <cfRule type="containsText" dxfId="271" priority="7" operator="containsText" text="verificar">
      <formula>NOT(ISERROR(SEARCH("verificar",M144)))</formula>
    </cfRule>
  </conditionalFormatting>
  <conditionalFormatting sqref="G152:L154">
    <cfRule type="containsText" dxfId="270" priority="5" operator="containsText" text="NV">
      <formula>NOT(ISERROR(SEARCH("NV",G152)))</formula>
    </cfRule>
    <cfRule type="containsText" dxfId="269" priority="6" operator="containsText" text="check">
      <formula>NOT(ISERROR(SEARCH("check",G152)))</formula>
    </cfRule>
  </conditionalFormatting>
  <conditionalFormatting sqref="G149:G162 L149:L162">
    <cfRule type="containsText" dxfId="268" priority="1" operator="containsText" text="v">
      <formula>NOT(ISERROR(SEARCH("v",G149)))</formula>
    </cfRule>
    <cfRule type="containsText" dxfId="267" priority="2" operator="containsText" text="si">
      <formula>NOT(ISERROR(SEARCH("si",G149)))</formula>
    </cfRule>
  </conditionalFormatting>
  <pageMargins left="0.47244094488188998" right="0.47244094488188998" top="0.59055118110236204" bottom="0.59055118110236204" header="0.39370078740157499" footer="0.39370078740157499"/>
  <pageSetup scale="80" fitToHeight="0" orientation="landscape" r:id="rId4"/>
  <headerFooter alignWithMargins="0">
    <oddFooter>&amp;L&amp;8&amp;D  &amp;T&amp;R&amp;8March 2014, Version 0.2</oddFooter>
  </headerFooter>
  <rowBreaks count="1" manualBreakCount="1">
    <brk id="100" min="1" max="13" man="1"/>
  </rowBreaks>
  <legacyDrawing r:id="rId5"/>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indexed="52"/>
    <pageSetUpPr fitToPage="1"/>
  </sheetPr>
  <dimension ref="A1:R170"/>
  <sheetViews>
    <sheetView zoomScale="120" zoomScaleNormal="120" workbookViewId="0">
      <pane xSplit="4" ySplit="7" topLeftCell="E23" activePane="bottomRight" state="frozen"/>
      <selection activeCell="Q53" sqref="P8:Q53"/>
      <selection pane="topRight" activeCell="Q53" sqref="P8:Q53"/>
      <selection pane="bottomLeft" activeCell="Q53" sqref="P8:Q53"/>
      <selection pane="bottomRight" activeCell="E35" sqref="E35"/>
    </sheetView>
  </sheetViews>
  <sheetFormatPr baseColWidth="10" defaultColWidth="9.140625" defaultRowHeight="12.75" x14ac:dyDescent="0.2"/>
  <cols>
    <col min="1" max="1" width="9.140625" style="164" hidden="1" customWidth="1"/>
    <col min="2" max="2" width="7.28515625" style="221" customWidth="1"/>
    <col min="3" max="3" width="50.7109375" style="164" customWidth="1"/>
    <col min="4" max="4" width="0.85546875" style="164" customWidth="1"/>
    <col min="5" max="14" width="10" style="164" customWidth="1"/>
    <col min="15" max="15" width="3.28515625" style="164" customWidth="1"/>
    <col min="16" max="17" width="11.7109375" style="164" customWidth="1"/>
    <col min="18" max="18" width="9.140625" style="164" customWidth="1"/>
    <col min="19" max="16384" width="9.140625" style="164"/>
  </cols>
  <sheetData>
    <row r="1" spans="1:17" ht="14.25" x14ac:dyDescent="0.25">
      <c r="A1" s="430"/>
      <c r="B1" s="513" t="str">
        <f>+Coverpage!A1</f>
        <v>GFSM2014_V1.5</v>
      </c>
      <c r="C1" s="514"/>
      <c r="D1" s="515"/>
      <c r="E1" s="516"/>
      <c r="F1" s="517"/>
      <c r="G1" s="771" t="str">
        <f>Reporting_Country_Name</f>
        <v>Colombia</v>
      </c>
      <c r="H1" s="771"/>
      <c r="I1" s="771"/>
      <c r="J1" s="771"/>
      <c r="K1" s="771"/>
      <c r="L1" s="771"/>
      <c r="M1" s="771"/>
      <c r="N1" s="661" t="str">
        <f>Reporting_Country_Code</f>
        <v>233</v>
      </c>
      <c r="O1" s="519"/>
      <c r="P1" s="653" t="s">
        <v>2731</v>
      </c>
      <c r="Q1" s="654"/>
    </row>
    <row r="2" spans="1:17" ht="14.25" x14ac:dyDescent="0.25">
      <c r="A2" s="430"/>
      <c r="B2" s="513" t="s">
        <v>2961</v>
      </c>
      <c r="C2" s="582"/>
      <c r="D2" s="583"/>
      <c r="E2" s="523"/>
      <c r="F2" s="780" t="str">
        <f>"En "&amp;Coverpage!$I$15&amp;" de "&amp;Coverpage!$I$14&amp;" / El año fiscal termina en "&amp;Coverpage!$I$11&amp;" "&amp;Coverpage!$I$12</f>
        <v xml:space="preserve">En Billion de Colombian Pesos (COP) / El año fiscal termina en  </v>
      </c>
      <c r="G2" s="781"/>
      <c r="H2" s="781"/>
      <c r="I2" s="781"/>
      <c r="J2" s="781"/>
      <c r="K2" s="781"/>
      <c r="L2" s="781"/>
      <c r="M2" s="781"/>
      <c r="N2" s="781"/>
      <c r="O2" s="519"/>
      <c r="P2" s="655" t="s">
        <v>2732</v>
      </c>
      <c r="Q2" s="656"/>
    </row>
    <row r="3" spans="1:17" ht="12" customHeight="1" x14ac:dyDescent="0.25">
      <c r="A3" s="430"/>
      <c r="B3" s="524"/>
      <c r="C3" s="525"/>
      <c r="D3" s="526"/>
      <c r="E3" s="527"/>
      <c r="F3" s="528"/>
      <c r="G3" s="784" t="s">
        <v>2726</v>
      </c>
      <c r="H3" s="784"/>
      <c r="I3" s="529" t="str">
        <f>Reporting_Period_Code</f>
        <v>2016</v>
      </c>
      <c r="J3" s="529"/>
      <c r="K3" s="528"/>
      <c r="L3" s="528"/>
      <c r="M3" s="530"/>
      <c r="N3" s="790" t="s">
        <v>2723</v>
      </c>
      <c r="O3" s="531"/>
      <c r="P3" s="168"/>
      <c r="Q3" s="168"/>
    </row>
    <row r="4" spans="1:17" ht="12" customHeight="1" x14ac:dyDescent="0.2">
      <c r="A4" s="430"/>
      <c r="B4" s="794" t="s">
        <v>2962</v>
      </c>
      <c r="C4" s="795"/>
      <c r="D4" s="532"/>
      <c r="E4" s="787" t="s">
        <v>2727</v>
      </c>
      <c r="F4" s="788"/>
      <c r="G4" s="788"/>
      <c r="H4" s="789"/>
      <c r="I4" s="790" t="s">
        <v>2719</v>
      </c>
      <c r="J4" s="790" t="s">
        <v>2720</v>
      </c>
      <c r="K4" s="792" t="s">
        <v>2721</v>
      </c>
      <c r="L4" s="790" t="s">
        <v>2728</v>
      </c>
      <c r="M4" s="793" t="s">
        <v>2722</v>
      </c>
      <c r="N4" s="791"/>
      <c r="O4" s="531"/>
      <c r="P4" s="778" t="s">
        <v>2733</v>
      </c>
      <c r="Q4" s="779"/>
    </row>
    <row r="5" spans="1:17" ht="30" customHeight="1" x14ac:dyDescent="0.2">
      <c r="A5" s="430"/>
      <c r="B5" s="794"/>
      <c r="C5" s="795"/>
      <c r="D5" s="532"/>
      <c r="E5" s="711" t="s">
        <v>2729</v>
      </c>
      <c r="F5" s="712" t="s">
        <v>2813</v>
      </c>
      <c r="G5" s="712" t="s">
        <v>2728</v>
      </c>
      <c r="H5" s="713" t="s">
        <v>2718</v>
      </c>
      <c r="I5" s="791"/>
      <c r="J5" s="791"/>
      <c r="K5" s="792"/>
      <c r="L5" s="791"/>
      <c r="M5" s="793"/>
      <c r="N5" s="791"/>
      <c r="O5" s="531"/>
      <c r="P5" s="668" t="s">
        <v>2734</v>
      </c>
      <c r="Q5" s="669" t="s">
        <v>2735</v>
      </c>
    </row>
    <row r="6" spans="1:17" ht="30" hidden="1" customHeight="1" x14ac:dyDescent="0.2">
      <c r="A6" s="430"/>
      <c r="B6" s="618"/>
      <c r="C6" s="619"/>
      <c r="D6" s="532"/>
      <c r="E6" s="538" t="s">
        <v>1562</v>
      </c>
      <c r="F6" s="539" t="s">
        <v>1563</v>
      </c>
      <c r="G6" s="539" t="s">
        <v>1575</v>
      </c>
      <c r="H6" s="540" t="s">
        <v>634</v>
      </c>
      <c r="I6" s="539" t="s">
        <v>1564</v>
      </c>
      <c r="J6" s="539" t="s">
        <v>1574</v>
      </c>
      <c r="K6" s="540" t="s">
        <v>637</v>
      </c>
      <c r="L6" s="539" t="s">
        <v>1576</v>
      </c>
      <c r="M6" s="541" t="s">
        <v>1565</v>
      </c>
      <c r="N6" s="541" t="s">
        <v>1577</v>
      </c>
      <c r="O6" s="531"/>
      <c r="P6" s="171" t="s">
        <v>640</v>
      </c>
      <c r="Q6" s="172" t="s">
        <v>641</v>
      </c>
    </row>
    <row r="7" spans="1:17" ht="10.5" customHeight="1" x14ac:dyDescent="0.2">
      <c r="A7" s="418"/>
      <c r="B7" s="536"/>
      <c r="C7" s="537"/>
      <c r="D7" s="537"/>
      <c r="E7" s="538" t="s">
        <v>632</v>
      </c>
      <c r="F7" s="539" t="s">
        <v>633</v>
      </c>
      <c r="G7" s="540" t="s">
        <v>155</v>
      </c>
      <c r="H7" s="539" t="s">
        <v>634</v>
      </c>
      <c r="I7" s="540" t="s">
        <v>635</v>
      </c>
      <c r="J7" s="539" t="s">
        <v>636</v>
      </c>
      <c r="K7" s="540" t="s">
        <v>637</v>
      </c>
      <c r="L7" s="539" t="s">
        <v>156</v>
      </c>
      <c r="M7" s="541" t="s">
        <v>638</v>
      </c>
      <c r="N7" s="541" t="s">
        <v>639</v>
      </c>
      <c r="O7" s="531"/>
      <c r="P7" s="171" t="s">
        <v>640</v>
      </c>
      <c r="Q7" s="172" t="s">
        <v>641</v>
      </c>
    </row>
    <row r="8" spans="1:17" ht="15" customHeight="1" x14ac:dyDescent="0.25">
      <c r="A8" s="418" t="s">
        <v>1653</v>
      </c>
      <c r="B8" s="594" t="s">
        <v>58</v>
      </c>
      <c r="C8" s="595" t="s">
        <v>2963</v>
      </c>
      <c r="D8" s="586" t="s">
        <v>48</v>
      </c>
      <c r="E8" s="145">
        <f>IF(OR(E9="NA",E14="NA",E16="NA",E20="NA",E24="NA",E34="NA",E38="NA"),"NA",IF(AND(E9="",E14="",E15="",E16="",E20="",E24="",E34="",E38=""),"",SUM(E9)+SUM(E14)+SUM(E15)+SUM(E16)+SUM(E20)+SUM(E24)+SUM(E34)+SUM(E38)))</f>
        <v>214559.94608200001</v>
      </c>
      <c r="F8" s="145">
        <f t="shared" ref="F8:N8" si="0">IF(OR(F9="NA",F14="NA",F16="NA",F20="NA",F24="NA",F34="NA",F38="NA"),"NA",IF(AND(F9="",F14="",F15="",F16="",F20="",F24="",F34="",F38=""),"",SUM(F9)+SUM(F14)+SUM(F15)+SUM(F16)+SUM(F20)+SUM(F24)+SUM(F34)+SUM(F38)))</f>
        <v>4284.9701819999991</v>
      </c>
      <c r="G8" s="145">
        <f>IF(OR(G14="NA",G16="NA",G20="NA",G24="NA",G38="NA"),"NA",IF(AND(G14="",G16="",G20="",G24="",G38=""),"",SUM(G9)+SUM(G14)+SUM(G15)+SUM(G16)+SUM(G20)+SUM(G24)+SUM(G34)+SUM(G38)))</f>
        <v>-3382.9422169999889</v>
      </c>
      <c r="H8" s="145">
        <f t="shared" si="0"/>
        <v>215461.974047</v>
      </c>
      <c r="I8" s="145">
        <f t="shared" si="0"/>
        <v>2740.9215799999997</v>
      </c>
      <c r="J8" s="145">
        <f t="shared" si="0"/>
        <v>26515.862986260134</v>
      </c>
      <c r="K8" s="145">
        <f t="shared" si="0"/>
        <v>60741.233942999999</v>
      </c>
      <c r="L8" s="145">
        <f>IF(OR(L14="NA",L16="NA",L20="NA",L24="NA",L38="NA"),"NA",IF(AND(L14="",L16="",L20="",L24="",L38=""),"",SUM(L9)+SUM(L14)+SUM(L15)+SUM(L16)+SUM(L20)+SUM(L24)+SUM(L34)+SUM(L38)))</f>
        <v>-59207.460456000001</v>
      </c>
      <c r="M8" s="145">
        <f t="shared" si="0"/>
        <v>246252.53210026014</v>
      </c>
      <c r="N8" s="145">
        <f t="shared" si="0"/>
        <v>218202.89562699999</v>
      </c>
      <c r="O8" s="546"/>
      <c r="P8" s="237">
        <f t="shared" ref="P8:P53" si="1">IF(OR(H8="NA",E8="NA",F8="NA",G8="NA"),"NA",SUM(H8)-SUM(E8:G8))</f>
        <v>0</v>
      </c>
      <c r="Q8" s="238">
        <f t="shared" ref="Q8:Q53" si="2">IF(OR(M8="NA",H8="NA",I8="NA",J8="NA",K8="NA",L8="NA"),"NA",SUM(M8)-SUM(H8:L8))</f>
        <v>5.8207660913467407E-11</v>
      </c>
    </row>
    <row r="9" spans="1:17" ht="15.75" customHeight="1" x14ac:dyDescent="0.25">
      <c r="A9" s="418" t="s">
        <v>1654</v>
      </c>
      <c r="B9" s="547" t="s">
        <v>193</v>
      </c>
      <c r="C9" s="548" t="s">
        <v>2964</v>
      </c>
      <c r="D9" s="532" t="s">
        <v>48</v>
      </c>
      <c r="E9" s="90">
        <f>IF(OR(E10="NA",E11="NA"),"NA",IF(AND(E10="",E11=""),"",SUM(E10:E11)))</f>
        <v>35917.665376000004</v>
      </c>
      <c r="F9" s="90">
        <f t="shared" ref="F9:N9" si="3">IF(OR(F10="NA",F11="NA"),"NA",IF(AND(F10="",F11=""),"",SUM(F10:F11)))</f>
        <v>987.33614799999998</v>
      </c>
      <c r="G9" s="477">
        <v>-3.7968399999999747</v>
      </c>
      <c r="H9" s="90">
        <f t="shared" si="3"/>
        <v>36901.204684000004</v>
      </c>
      <c r="I9" s="90">
        <f t="shared" si="3"/>
        <v>776.08519100000001</v>
      </c>
      <c r="J9" s="90">
        <f t="shared" si="3"/>
        <v>10327.566404000001</v>
      </c>
      <c r="K9" s="90">
        <f t="shared" si="3"/>
        <v>10452.570718999999</v>
      </c>
      <c r="L9" s="477">
        <v>-3.9754190000003291</v>
      </c>
      <c r="M9" s="90">
        <f t="shared" si="3"/>
        <v>58453.451579</v>
      </c>
      <c r="N9" s="90">
        <f t="shared" si="3"/>
        <v>37677.289875000002</v>
      </c>
      <c r="O9" s="546"/>
      <c r="P9" s="178">
        <f t="shared" si="1"/>
        <v>0</v>
      </c>
      <c r="Q9" s="179">
        <f t="shared" si="2"/>
        <v>7.2759576141834259E-12</v>
      </c>
    </row>
    <row r="10" spans="1:17" ht="10.35" customHeight="1" x14ac:dyDescent="0.25">
      <c r="A10" s="418" t="s">
        <v>1655</v>
      </c>
      <c r="B10" s="549" t="s">
        <v>1057</v>
      </c>
      <c r="C10" s="550" t="s">
        <v>2965</v>
      </c>
      <c r="D10" s="532" t="s">
        <v>48</v>
      </c>
      <c r="E10" s="89">
        <v>22457.822079000001</v>
      </c>
      <c r="F10" s="89">
        <v>601.15939100000003</v>
      </c>
      <c r="G10" s="473">
        <v>0</v>
      </c>
      <c r="H10" s="89">
        <f>IF(OR(E10="NA",F10="NA"),"NA",IF(AND(E10="",F10=""),"",SUM(E10:G10)))</f>
        <v>23058.981470000002</v>
      </c>
      <c r="I10" s="89">
        <v>112.681781</v>
      </c>
      <c r="J10" s="89">
        <v>8666.2564220000004</v>
      </c>
      <c r="K10" s="89">
        <v>8661.865006</v>
      </c>
      <c r="L10" s="473">
        <v>0</v>
      </c>
      <c r="M10" s="89">
        <f>IF(OR(H10="NA",I10="NA",J10="NA",K10="NA"),"NA",IF(AND(H10="",I10="",J10="",K10=""),"",SUM(H10:L10)))</f>
        <v>40499.784679000004</v>
      </c>
      <c r="N10" s="89">
        <f t="shared" ref="N10:N15" si="4">H10+I10</f>
        <v>23171.663251000002</v>
      </c>
      <c r="O10" s="546"/>
      <c r="P10" s="178">
        <f t="shared" si="1"/>
        <v>0</v>
      </c>
      <c r="Q10" s="179">
        <f t="shared" si="2"/>
        <v>0</v>
      </c>
    </row>
    <row r="11" spans="1:17" ht="10.35" customHeight="1" x14ac:dyDescent="0.25">
      <c r="A11" s="418" t="s">
        <v>1656</v>
      </c>
      <c r="B11" s="549" t="s">
        <v>1058</v>
      </c>
      <c r="C11" s="550" t="s">
        <v>2966</v>
      </c>
      <c r="D11" s="532" t="s">
        <v>48</v>
      </c>
      <c r="E11" s="89">
        <f>IF(OR(E12="NA",),"NA",IF(AND(E12="",E13=""),"",SUM(E12:E13)))</f>
        <v>13459.843296999999</v>
      </c>
      <c r="F11" s="89">
        <f>IF(OR(F12="NA",),"NA",IF(AND(F12="",F13=""),"",SUM(F12:F13)))</f>
        <v>386.17675699999995</v>
      </c>
      <c r="G11" s="473">
        <v>-3.7968399999999747</v>
      </c>
      <c r="H11" s="89">
        <f>IF(OR(H12="NA",),"NA",IF(AND(H12="",H13=""),"",SUM(H12:H13)))</f>
        <v>13842.223214</v>
      </c>
      <c r="I11" s="89">
        <f>IF(OR(I12="NA",),"NA",IF(AND(I12="",I13=""),"",SUM(I12:I13)))</f>
        <v>663.40341000000001</v>
      </c>
      <c r="J11" s="89">
        <f>IF(OR(J12="NA",),"NA",IF(AND(J12="",J13=""),"",SUM(J12:J13)))</f>
        <v>1661.309982</v>
      </c>
      <c r="K11" s="89">
        <f>IF(OR(K12="NA",),"NA",IF(AND(K12="",K13=""),"",SUM(K12:K13)))</f>
        <v>1790.7057130000001</v>
      </c>
      <c r="L11" s="473">
        <v>-3.9754190000003291</v>
      </c>
      <c r="M11" s="89">
        <f>IF(OR(M12="NA",),"NA",IF(AND(M12="",M13=""),"",SUM(M12:M13)))</f>
        <v>17953.6669</v>
      </c>
      <c r="N11" s="89">
        <f t="shared" si="4"/>
        <v>14505.626624</v>
      </c>
      <c r="O11" s="546"/>
      <c r="P11" s="178">
        <f t="shared" si="1"/>
        <v>1.8189894035458565E-12</v>
      </c>
      <c r="Q11" s="179">
        <f t="shared" si="2"/>
        <v>-3.637978807091713E-12</v>
      </c>
    </row>
    <row r="12" spans="1:17" ht="10.35" customHeight="1" x14ac:dyDescent="0.25">
      <c r="A12" s="418" t="s">
        <v>1657</v>
      </c>
      <c r="B12" s="549" t="s">
        <v>1059</v>
      </c>
      <c r="C12" s="602" t="s">
        <v>2967</v>
      </c>
      <c r="D12" s="532" t="s">
        <v>48</v>
      </c>
      <c r="E12" s="89">
        <v>3101.5721389999999</v>
      </c>
      <c r="F12" s="89">
        <v>116.49818500000001</v>
      </c>
      <c r="G12" s="473">
        <v>-3.7968399999999747</v>
      </c>
      <c r="H12" s="89">
        <f>IF(OR(E12="NA",F12="NA"),"NA",IF(AND(E12="",F12=""),"",SUM(E12:G12)))</f>
        <v>3214.2734839999998</v>
      </c>
      <c r="I12" s="89">
        <v>22.738654</v>
      </c>
      <c r="J12" s="89">
        <v>1054.406913</v>
      </c>
      <c r="K12" s="89">
        <v>1319.9800640000001</v>
      </c>
      <c r="L12" s="473">
        <v>-3.9754190000003291</v>
      </c>
      <c r="M12" s="89">
        <f>IF(OR(H12="NA",I12="NA",J12="NA",K12="NA"),"NA",IF(AND(H12="",I12="",J12="",K12=""),"",SUM(H12:L12)))</f>
        <v>5607.4236959999998</v>
      </c>
      <c r="N12" s="89">
        <f t="shared" si="4"/>
        <v>3237.012138</v>
      </c>
      <c r="O12" s="546"/>
      <c r="P12" s="178">
        <f t="shared" si="1"/>
        <v>0</v>
      </c>
      <c r="Q12" s="179">
        <f t="shared" si="2"/>
        <v>0</v>
      </c>
    </row>
    <row r="13" spans="1:17" ht="10.35" customHeight="1" x14ac:dyDescent="0.25">
      <c r="A13" s="418" t="s">
        <v>1658</v>
      </c>
      <c r="B13" s="551" t="s">
        <v>1060</v>
      </c>
      <c r="C13" s="605" t="s">
        <v>2968</v>
      </c>
      <c r="D13" s="553" t="s">
        <v>48</v>
      </c>
      <c r="E13" s="152">
        <v>10358.271158</v>
      </c>
      <c r="F13" s="148">
        <v>269.67857199999997</v>
      </c>
      <c r="G13" s="624">
        <v>0</v>
      </c>
      <c r="H13" s="89">
        <f>IF(OR(E13="NA",F13="NA"),"NA",IF(AND(E13="",F13=""),"",SUM(E13:G13)))</f>
        <v>10627.94973</v>
      </c>
      <c r="I13" s="148">
        <v>640.66475600000001</v>
      </c>
      <c r="J13" s="148">
        <v>606.90306899999996</v>
      </c>
      <c r="K13" s="148">
        <v>470.72564899999998</v>
      </c>
      <c r="L13" s="624">
        <v>0</v>
      </c>
      <c r="M13" s="148">
        <f>IF(OR(H13="NA",I13="NA",J13="NA",K13="NA"),"NA",IF(AND(H13="",I13="",J13="",K13=""),"",SUM(H13:L13)))</f>
        <v>12346.243204</v>
      </c>
      <c r="N13" s="148">
        <f t="shared" si="4"/>
        <v>11268.614486</v>
      </c>
      <c r="O13" s="546"/>
      <c r="P13" s="178">
        <f t="shared" si="1"/>
        <v>0</v>
      </c>
      <c r="Q13" s="179">
        <f t="shared" si="2"/>
        <v>0</v>
      </c>
    </row>
    <row r="14" spans="1:17" ht="15.75" customHeight="1" x14ac:dyDescent="0.25">
      <c r="A14" s="418" t="s">
        <v>1659</v>
      </c>
      <c r="B14" s="620" t="s">
        <v>1061</v>
      </c>
      <c r="C14" s="621" t="s">
        <v>2969</v>
      </c>
      <c r="D14" s="558" t="s">
        <v>48</v>
      </c>
      <c r="E14" s="158">
        <v>22662.600287000001</v>
      </c>
      <c r="F14" s="158">
        <v>2734.6200859999999</v>
      </c>
      <c r="G14" s="158">
        <v>-463.25719799999933</v>
      </c>
      <c r="H14" s="158">
        <f>IF(OR(E14="NA",F14="NA",G14="NA"),"NA",IF(AND(E14="",F14="",G14=""),"",SUM(E14:G14)))</f>
        <v>24933.963175000001</v>
      </c>
      <c r="I14" s="158">
        <v>499.68318599999998</v>
      </c>
      <c r="J14" s="158">
        <v>5401.4995310000004</v>
      </c>
      <c r="K14" s="158">
        <v>13705.923046</v>
      </c>
      <c r="L14" s="158">
        <v>-550.12917099999686</v>
      </c>
      <c r="M14" s="158">
        <f>IF(OR(H14="NA",I14="NA",J14="NA",K14="NA",L14="NA"),"NA",IF(AND(H14="",I14="",J14="",K14="",L14=""),"",SUM(H14:L14)))</f>
        <v>43990.939767000003</v>
      </c>
      <c r="N14" s="158">
        <f t="shared" si="4"/>
        <v>25433.646360999999</v>
      </c>
      <c r="O14" s="546"/>
      <c r="P14" s="178">
        <f t="shared" si="1"/>
        <v>0</v>
      </c>
      <c r="Q14" s="179">
        <f t="shared" si="2"/>
        <v>0</v>
      </c>
    </row>
    <row r="15" spans="1:17" ht="15.75" customHeight="1" x14ac:dyDescent="0.25">
      <c r="A15" s="418" t="s">
        <v>1660</v>
      </c>
      <c r="B15" s="620" t="s">
        <v>1062</v>
      </c>
      <c r="C15" s="621" t="s">
        <v>2970</v>
      </c>
      <c r="D15" s="558" t="s">
        <v>48</v>
      </c>
      <c r="E15" s="158">
        <v>4036.1440440000001</v>
      </c>
      <c r="F15" s="158">
        <v>80.038404</v>
      </c>
      <c r="G15" s="625">
        <v>0</v>
      </c>
      <c r="H15" s="158">
        <f>IF(OR(E15="NA",F15="NA"),"NA",IF(AND(E15="",F15=""),"",SUM(E15:G15)))</f>
        <v>4116.1824480000005</v>
      </c>
      <c r="I15" s="158">
        <v>4.0207750000000004</v>
      </c>
      <c r="J15" s="158">
        <v>1181.7842942601301</v>
      </c>
      <c r="K15" s="158">
        <v>4839.9525679999997</v>
      </c>
      <c r="L15" s="625">
        <v>0</v>
      </c>
      <c r="M15" s="158">
        <f>IF(OR(H15="NA",I15="NA",J15="NA",K15="NA"),"NA",IF(AND(H15="",I15="",J15="",K15=""),"",SUM(H15:L15)))</f>
        <v>10141.94008526013</v>
      </c>
      <c r="N15" s="158">
        <f t="shared" si="4"/>
        <v>4120.2032230000004</v>
      </c>
      <c r="O15" s="546"/>
      <c r="P15" s="178">
        <f t="shared" si="1"/>
        <v>0</v>
      </c>
      <c r="Q15" s="179">
        <f t="shared" si="2"/>
        <v>0</v>
      </c>
    </row>
    <row r="16" spans="1:17" ht="15.75" customHeight="1" x14ac:dyDescent="0.25">
      <c r="A16" s="418" t="s">
        <v>1661</v>
      </c>
      <c r="B16" s="547" t="s">
        <v>1063</v>
      </c>
      <c r="C16" s="548" t="s">
        <v>2971</v>
      </c>
      <c r="D16" s="532" t="s">
        <v>48</v>
      </c>
      <c r="E16" s="90">
        <f t="shared" ref="E16:N16" si="5">IF(OR(E17="NA",E18="NA",E19="NA"),"NA",IF(AND(E17="",E18="",E19=""),"",SUM(E17:E19)))</f>
        <v>24099.318120999997</v>
      </c>
      <c r="F16" s="90">
        <f t="shared" si="5"/>
        <v>8.8091280000000012</v>
      </c>
      <c r="G16" s="90">
        <f>IF(OR(G19="NA"),"NA",IF(AND(G19=""),"",SUM(G17:G19)))</f>
        <v>0</v>
      </c>
      <c r="H16" s="90">
        <f t="shared" si="5"/>
        <v>24108.127248999994</v>
      </c>
      <c r="I16" s="90">
        <f t="shared" si="5"/>
        <v>4.6810000000000003E-3</v>
      </c>
      <c r="J16" s="90">
        <f t="shared" si="5"/>
        <v>383.09631499999995</v>
      </c>
      <c r="K16" s="90">
        <f t="shared" si="5"/>
        <v>646.20284500000002</v>
      </c>
      <c r="L16" s="90">
        <f>IF(OR(L19="NA"),"NA",IF(AND(L19=""),"",SUM(L17:L19)))</f>
        <v>-358.78285000000108</v>
      </c>
      <c r="M16" s="90">
        <f t="shared" si="5"/>
        <v>24778.648239999999</v>
      </c>
      <c r="N16" s="90">
        <f t="shared" si="5"/>
        <v>24108.131929999996</v>
      </c>
      <c r="O16" s="546"/>
      <c r="P16" s="178">
        <f t="shared" si="1"/>
        <v>-3.637978807091713E-12</v>
      </c>
      <c r="Q16" s="179">
        <f t="shared" si="2"/>
        <v>7.2759576141834259E-12</v>
      </c>
    </row>
    <row r="17" spans="1:17" ht="10.35" customHeight="1" x14ac:dyDescent="0.25">
      <c r="A17" s="418" t="s">
        <v>1985</v>
      </c>
      <c r="B17" s="549" t="s">
        <v>206</v>
      </c>
      <c r="C17" s="550" t="s">
        <v>2972</v>
      </c>
      <c r="D17" s="532" t="s">
        <v>48</v>
      </c>
      <c r="E17" s="89">
        <v>6010.7977979999996</v>
      </c>
      <c r="F17" s="89">
        <v>6.9448999999999997E-2</v>
      </c>
      <c r="G17" s="473">
        <v>0</v>
      </c>
      <c r="H17" s="89">
        <f>IF(OR(E17="NA",F17="NA"),"NA",IF(AND(E17="",F17=""),"",SUM(E17:G17)))</f>
        <v>6010.8672469999992</v>
      </c>
      <c r="I17" s="89">
        <v>0</v>
      </c>
      <c r="J17" s="89">
        <v>23.100065000000001</v>
      </c>
      <c r="K17" s="89">
        <v>110.757408</v>
      </c>
      <c r="L17" s="473">
        <v>-0.92575000000033469</v>
      </c>
      <c r="M17" s="89">
        <f>IF(OR(H17="NA",I17="NA",J17="NA",K17="NA"),"NA",IF(AND(H17="",I17="",J17="",K17=""),"",SUM(H17:L17)))</f>
        <v>6143.7989699999989</v>
      </c>
      <c r="N17" s="89">
        <f>H17+I17</f>
        <v>6010.8672469999992</v>
      </c>
      <c r="O17" s="546"/>
      <c r="P17" s="178">
        <f t="shared" si="1"/>
        <v>0</v>
      </c>
      <c r="Q17" s="179">
        <f t="shared" si="2"/>
        <v>0</v>
      </c>
    </row>
    <row r="18" spans="1:17" ht="10.35" customHeight="1" x14ac:dyDescent="0.25">
      <c r="A18" s="418" t="s">
        <v>1986</v>
      </c>
      <c r="B18" s="549" t="s">
        <v>207</v>
      </c>
      <c r="C18" s="550" t="s">
        <v>2973</v>
      </c>
      <c r="D18" s="532" t="s">
        <v>48</v>
      </c>
      <c r="E18" s="89">
        <v>17252.306122999998</v>
      </c>
      <c r="F18" s="89">
        <v>8.2809559999999998</v>
      </c>
      <c r="G18" s="473">
        <v>0</v>
      </c>
      <c r="H18" s="89">
        <f>IF(OR(E18="NA",F18="NA"),"NA",IF(AND(E18="",F18=""),"",SUM(E18:G18)))</f>
        <v>17260.587078999997</v>
      </c>
      <c r="I18" s="89">
        <v>4.5900000000000003E-3</v>
      </c>
      <c r="J18" s="89">
        <v>357.11289099999999</v>
      </c>
      <c r="K18" s="89">
        <v>516.65768000000003</v>
      </c>
      <c r="L18" s="473">
        <v>-182.62548600000082</v>
      </c>
      <c r="M18" s="89">
        <f>IF(OR(H18="NA",I18="NA",J18="NA",K18="NA"),"NA",IF(AND(H18="",I18="",J18="",K18=""),"",SUM(H18:L18)))</f>
        <v>17951.736753999998</v>
      </c>
      <c r="N18" s="89">
        <f>H18+I18</f>
        <v>17260.591668999998</v>
      </c>
      <c r="O18" s="546"/>
      <c r="P18" s="178">
        <f t="shared" si="1"/>
        <v>0</v>
      </c>
      <c r="Q18" s="179">
        <f t="shared" si="2"/>
        <v>0</v>
      </c>
    </row>
    <row r="19" spans="1:17" ht="10.35" customHeight="1" x14ac:dyDescent="0.25">
      <c r="A19" s="418" t="s">
        <v>1987</v>
      </c>
      <c r="B19" s="551" t="s">
        <v>183</v>
      </c>
      <c r="C19" s="552" t="s">
        <v>2974</v>
      </c>
      <c r="D19" s="553" t="s">
        <v>48</v>
      </c>
      <c r="E19" s="148">
        <v>836.21420000000001</v>
      </c>
      <c r="F19" s="148">
        <v>0.45872299999999999</v>
      </c>
      <c r="G19" s="148">
        <v>0</v>
      </c>
      <c r="H19" s="148">
        <f>IF(OR(E19="NA",F19="NA",G19="NA"),"NA",IF(AND(E19="",F19="",G19=""),"",SUM(E19:G19)))</f>
        <v>836.67292299999997</v>
      </c>
      <c r="I19" s="148">
        <v>9.1000000000000003E-5</v>
      </c>
      <c r="J19" s="148">
        <v>2.883359</v>
      </c>
      <c r="K19" s="148">
        <v>18.787756999999999</v>
      </c>
      <c r="L19" s="148">
        <v>-175.23161399999992</v>
      </c>
      <c r="M19" s="148">
        <f>IF(OR(H19="NA",I19="NA",J19="NA",K19="NA",L19="NA"),"NA",IF(AND(H19="",I19="",J19="",K19="",L19=""),"",SUM(H19:L19)))</f>
        <v>683.11251600000003</v>
      </c>
      <c r="N19" s="148">
        <f>H19+I19</f>
        <v>836.67301399999997</v>
      </c>
      <c r="O19" s="546"/>
      <c r="P19" s="178">
        <f t="shared" si="1"/>
        <v>0</v>
      </c>
      <c r="Q19" s="179">
        <f t="shared" si="2"/>
        <v>0</v>
      </c>
    </row>
    <row r="20" spans="1:17" ht="15.75" customHeight="1" x14ac:dyDescent="0.25">
      <c r="A20" s="418" t="s">
        <v>1662</v>
      </c>
      <c r="B20" s="547" t="s">
        <v>194</v>
      </c>
      <c r="C20" s="548" t="s">
        <v>2975</v>
      </c>
      <c r="D20" s="532" t="s">
        <v>48</v>
      </c>
      <c r="E20" s="90">
        <f t="shared" ref="E20:N20" si="6">IF(OR(E21="NA",E22="NA",E23="NA"),"NA",IF(AND(E21="",E22="",E23=""),"",SUM(E21:E23)))</f>
        <v>1989.1602090000001</v>
      </c>
      <c r="F20" s="90">
        <f t="shared" si="6"/>
        <v>5.0819999999999997E-2</v>
      </c>
      <c r="G20" s="90">
        <f>IF(OR(G23="NA"),"NA",IF(AND(G23=""),"",SUM(G21:G23)))</f>
        <v>0</v>
      </c>
      <c r="H20" s="90">
        <f t="shared" si="6"/>
        <v>1989.2110290000001</v>
      </c>
      <c r="I20" s="90">
        <f t="shared" si="6"/>
        <v>0</v>
      </c>
      <c r="J20" s="90">
        <f t="shared" si="6"/>
        <v>1.9693459999999998</v>
      </c>
      <c r="K20" s="90">
        <f t="shared" si="6"/>
        <v>862.06342500000005</v>
      </c>
      <c r="L20" s="90">
        <f>IF(OR(L23="NA"),"NA",IF(AND(L23=""),"",SUM(L21:L23)))</f>
        <v>0</v>
      </c>
      <c r="M20" s="90">
        <f t="shared" si="6"/>
        <v>2853.2438000000002</v>
      </c>
      <c r="N20" s="90">
        <f t="shared" si="6"/>
        <v>1989.2110290000001</v>
      </c>
      <c r="O20" s="546"/>
      <c r="P20" s="178">
        <f t="shared" si="1"/>
        <v>0</v>
      </c>
      <c r="Q20" s="179">
        <f t="shared" si="2"/>
        <v>0</v>
      </c>
    </row>
    <row r="21" spans="1:17" ht="10.35" customHeight="1" x14ac:dyDescent="0.25">
      <c r="A21" s="418" t="s">
        <v>2429</v>
      </c>
      <c r="B21" s="549" t="s">
        <v>1064</v>
      </c>
      <c r="C21" s="550" t="s">
        <v>2976</v>
      </c>
      <c r="D21" s="532" t="s">
        <v>48</v>
      </c>
      <c r="E21" s="89">
        <v>1683.235641</v>
      </c>
      <c r="F21" s="89">
        <v>0</v>
      </c>
      <c r="G21" s="473">
        <v>0</v>
      </c>
      <c r="H21" s="89">
        <f>IF(OR(E21="NA",F21="NA"),"NA",IF(AND(E21="",F21=""),"",SUM(E21:G21)))</f>
        <v>1683.235641</v>
      </c>
      <c r="I21" s="89">
        <v>0</v>
      </c>
      <c r="J21" s="89">
        <v>0.35158699999999998</v>
      </c>
      <c r="K21" s="89">
        <v>854.05362000000002</v>
      </c>
      <c r="L21" s="473">
        <v>0</v>
      </c>
      <c r="M21" s="89">
        <f>IF(OR(H21="NA",I21="NA",J21="NA",K21="NA"),"NA",IF(AND(H21="",I21="",J21="",K21=""),"",SUM(H21:L21)))</f>
        <v>2537.640848</v>
      </c>
      <c r="N21" s="89">
        <f>H21+I21</f>
        <v>1683.235641</v>
      </c>
      <c r="O21" s="546"/>
      <c r="P21" s="178">
        <f t="shared" si="1"/>
        <v>0</v>
      </c>
      <c r="Q21" s="179">
        <f t="shared" si="2"/>
        <v>0</v>
      </c>
    </row>
    <row r="22" spans="1:17" ht="10.35" customHeight="1" x14ac:dyDescent="0.25">
      <c r="A22" s="418" t="s">
        <v>1988</v>
      </c>
      <c r="B22" s="549" t="s">
        <v>1065</v>
      </c>
      <c r="C22" s="550" t="s">
        <v>2977</v>
      </c>
      <c r="D22" s="532" t="s">
        <v>48</v>
      </c>
      <c r="E22" s="89">
        <v>305.92456800000002</v>
      </c>
      <c r="F22" s="89">
        <v>5.0819999999999997E-2</v>
      </c>
      <c r="G22" s="473">
        <v>0</v>
      </c>
      <c r="H22" s="89">
        <f>IF(OR(E22="NA",F22="NA"),"NA",IF(AND(E22="",F22=""),"",SUM(E22:G22)))</f>
        <v>305.97538800000001</v>
      </c>
      <c r="I22" s="89">
        <v>0</v>
      </c>
      <c r="J22" s="89">
        <v>1.6177589999999999</v>
      </c>
      <c r="K22" s="89">
        <v>8.0098050000000001</v>
      </c>
      <c r="L22" s="473">
        <v>0</v>
      </c>
      <c r="M22" s="89">
        <f>IF(OR(H22="NA",I22="NA",J22="NA",K22="NA"),"NA",IF(AND(H22="",I22="",J22="",K22=""),"",SUM(H22:L22)))</f>
        <v>315.60295199999996</v>
      </c>
      <c r="N22" s="89">
        <f>H22+I22</f>
        <v>305.97538800000001</v>
      </c>
      <c r="O22" s="546"/>
      <c r="P22" s="178">
        <f t="shared" si="1"/>
        <v>0</v>
      </c>
      <c r="Q22" s="179">
        <f t="shared" si="2"/>
        <v>0</v>
      </c>
    </row>
    <row r="23" spans="1:17" ht="10.35" customHeight="1" x14ac:dyDescent="0.25">
      <c r="A23" s="418" t="s">
        <v>1989</v>
      </c>
      <c r="B23" s="551" t="s">
        <v>1066</v>
      </c>
      <c r="C23" s="552" t="s">
        <v>2978</v>
      </c>
      <c r="D23" s="553" t="s">
        <v>48</v>
      </c>
      <c r="E23" s="148">
        <v>0</v>
      </c>
      <c r="F23" s="148">
        <v>0</v>
      </c>
      <c r="G23" s="148">
        <v>0</v>
      </c>
      <c r="H23" s="148">
        <f>IF(OR(E23="NA",F23="NA",G23="NA"),"NA",IF(AND(E23="",F23="",G23=""),"",SUM(E23:G23)))</f>
        <v>0</v>
      </c>
      <c r="I23" s="148">
        <v>0</v>
      </c>
      <c r="J23" s="148">
        <v>0</v>
      </c>
      <c r="K23" s="148">
        <v>0</v>
      </c>
      <c r="L23" s="148">
        <v>0</v>
      </c>
      <c r="M23" s="148">
        <f>IF(OR(H23="NA",I23="NA",J23="NA",K23="NA",L23="NA"),"NA",IF(AND(H23="",I23="",J23="",K23="",L23=""),"",SUM(H23:L23)))</f>
        <v>0</v>
      </c>
      <c r="N23" s="148">
        <f>H23+I23</f>
        <v>0</v>
      </c>
      <c r="O23" s="546"/>
      <c r="P23" s="178">
        <f t="shared" si="1"/>
        <v>0</v>
      </c>
      <c r="Q23" s="179">
        <f t="shared" si="2"/>
        <v>0</v>
      </c>
    </row>
    <row r="24" spans="1:17" ht="15.75" customHeight="1" x14ac:dyDescent="0.25">
      <c r="A24" s="418" t="s">
        <v>1663</v>
      </c>
      <c r="B24" s="547" t="s">
        <v>1067</v>
      </c>
      <c r="C24" s="548" t="s">
        <v>2979</v>
      </c>
      <c r="D24" s="532" t="s">
        <v>48</v>
      </c>
      <c r="E24" s="90">
        <f t="shared" ref="E24:N24" si="7">IF(OR(E25="NA",E28="NA",E31="NA"),"NA",IF(AND(E25="",E28="",E31=""),"",SUM(E25)+SUM(E28)+SUM(E31)))</f>
        <v>74743.698170999996</v>
      </c>
      <c r="F24" s="90">
        <f t="shared" si="7"/>
        <v>14.12998</v>
      </c>
      <c r="G24" s="90">
        <f>IF(OR(G31="NA"),"NA",IF(AND(G31=""),"",SUM(G25)+SUM(G28)+SUM(G31)))</f>
        <v>-2867.4240309999905</v>
      </c>
      <c r="H24" s="90">
        <f t="shared" si="7"/>
        <v>71890.404120000007</v>
      </c>
      <c r="I24" s="90">
        <f t="shared" si="7"/>
        <v>0</v>
      </c>
      <c r="J24" s="90">
        <f t="shared" si="7"/>
        <v>1366.4219169999999</v>
      </c>
      <c r="K24" s="90">
        <f t="shared" si="7"/>
        <v>2365.6331530000002</v>
      </c>
      <c r="L24" s="90">
        <f>IF(OR(L31="NA"),"NA",IF(AND(L31=""),"",SUM(L25)+SUM(L28)+SUM(L31)))</f>
        <v>-57263.642900999999</v>
      </c>
      <c r="M24" s="90">
        <f t="shared" si="7"/>
        <v>18358.816289000002</v>
      </c>
      <c r="N24" s="90">
        <f t="shared" si="7"/>
        <v>71890.404119999992</v>
      </c>
      <c r="O24" s="546"/>
      <c r="P24" s="178">
        <f t="shared" si="1"/>
        <v>0</v>
      </c>
      <c r="Q24" s="179">
        <f t="shared" si="2"/>
        <v>-7.2759576141834259E-12</v>
      </c>
    </row>
    <row r="25" spans="1:17" ht="10.35" customHeight="1" x14ac:dyDescent="0.25">
      <c r="A25" s="418" t="s">
        <v>1990</v>
      </c>
      <c r="B25" s="549" t="s">
        <v>1068</v>
      </c>
      <c r="C25" s="550" t="s">
        <v>2980</v>
      </c>
      <c r="D25" s="532" t="s">
        <v>48</v>
      </c>
      <c r="E25" s="89">
        <f t="shared" ref="E25:N25" si="8">IF(OR(E26="NA",E27="NA"),"NA",IF(AND(E26="",E27=""),"",SUM(E26:E27)))</f>
        <v>0</v>
      </c>
      <c r="F25" s="89">
        <f t="shared" si="8"/>
        <v>0</v>
      </c>
      <c r="G25" s="473">
        <v>0</v>
      </c>
      <c r="H25" s="89">
        <f t="shared" si="8"/>
        <v>0</v>
      </c>
      <c r="I25" s="89">
        <f t="shared" si="8"/>
        <v>0</v>
      </c>
      <c r="J25" s="89">
        <f t="shared" si="8"/>
        <v>0</v>
      </c>
      <c r="K25" s="89">
        <f t="shared" si="8"/>
        <v>0</v>
      </c>
      <c r="L25" s="473">
        <v>0</v>
      </c>
      <c r="M25" s="89">
        <f t="shared" si="8"/>
        <v>0</v>
      </c>
      <c r="N25" s="89">
        <f t="shared" si="8"/>
        <v>0</v>
      </c>
      <c r="O25" s="546"/>
      <c r="P25" s="178">
        <f t="shared" si="1"/>
        <v>0</v>
      </c>
      <c r="Q25" s="179">
        <f t="shared" si="2"/>
        <v>0</v>
      </c>
    </row>
    <row r="26" spans="1:17" ht="10.35" customHeight="1" x14ac:dyDescent="0.25">
      <c r="A26" s="418" t="s">
        <v>1991</v>
      </c>
      <c r="B26" s="549" t="s">
        <v>1069</v>
      </c>
      <c r="C26" s="602" t="s">
        <v>2981</v>
      </c>
      <c r="D26" s="532" t="s">
        <v>48</v>
      </c>
      <c r="E26" s="89">
        <v>0</v>
      </c>
      <c r="F26" s="89">
        <v>0</v>
      </c>
      <c r="G26" s="473">
        <v>0</v>
      </c>
      <c r="H26" s="89">
        <f>IF(OR(E26="NA",F26="NA"),"NA",IF(AND(E26="",F26=""),"",SUM(E26:G26)))</f>
        <v>0</v>
      </c>
      <c r="I26" s="89">
        <v>0</v>
      </c>
      <c r="J26" s="89">
        <v>0</v>
      </c>
      <c r="K26" s="89">
        <v>0</v>
      </c>
      <c r="L26" s="473">
        <v>0</v>
      </c>
      <c r="M26" s="89">
        <f>IF(OR(H26="NA",I26="NA",J26="NA",K26="NA"),"NA",IF(AND(H26="",I26="",J26="",K26=""),"",SUM(H26:L26)))</f>
        <v>0</v>
      </c>
      <c r="N26" s="89">
        <f>H26+I26</f>
        <v>0</v>
      </c>
      <c r="O26" s="546"/>
      <c r="P26" s="178">
        <f t="shared" si="1"/>
        <v>0</v>
      </c>
      <c r="Q26" s="179">
        <f t="shared" si="2"/>
        <v>0</v>
      </c>
    </row>
    <row r="27" spans="1:17" ht="10.35" customHeight="1" x14ac:dyDescent="0.25">
      <c r="A27" s="418" t="s">
        <v>1992</v>
      </c>
      <c r="B27" s="549" t="s">
        <v>1070</v>
      </c>
      <c r="C27" s="602" t="s">
        <v>2982</v>
      </c>
      <c r="D27" s="532" t="s">
        <v>48</v>
      </c>
      <c r="E27" s="89">
        <v>0</v>
      </c>
      <c r="F27" s="89">
        <v>0</v>
      </c>
      <c r="G27" s="473">
        <v>0</v>
      </c>
      <c r="H27" s="89">
        <f>IF(OR(E27="NA",F27="NA"),"NA",IF(AND(E27="",F27=""),"",SUM(E27:G27)))</f>
        <v>0</v>
      </c>
      <c r="I27" s="89">
        <v>0</v>
      </c>
      <c r="J27" s="89">
        <v>0</v>
      </c>
      <c r="K27" s="89">
        <v>0</v>
      </c>
      <c r="L27" s="473">
        <v>0</v>
      </c>
      <c r="M27" s="89">
        <f>IF(OR(H27="NA",I27="NA",J27="NA",K27="NA"),"NA",IF(AND(H27="",I27="",J27="",K27=""),"",SUM(H27:L27)))</f>
        <v>0</v>
      </c>
      <c r="N27" s="89">
        <f>H27+I27</f>
        <v>0</v>
      </c>
      <c r="O27" s="546"/>
      <c r="P27" s="178">
        <f t="shared" si="1"/>
        <v>0</v>
      </c>
      <c r="Q27" s="179">
        <f t="shared" si="2"/>
        <v>0</v>
      </c>
    </row>
    <row r="28" spans="1:17" ht="10.35" customHeight="1" x14ac:dyDescent="0.25">
      <c r="A28" s="418" t="s">
        <v>1993</v>
      </c>
      <c r="B28" s="549" t="s">
        <v>1071</v>
      </c>
      <c r="C28" s="550" t="s">
        <v>2983</v>
      </c>
      <c r="D28" s="532" t="s">
        <v>48</v>
      </c>
      <c r="E28" s="89">
        <f t="shared" ref="E28:N28" si="9">IF(OR(E29="NA",E30="NA"),"NA",IF(AND(E29="",E30=""),"",SUM(E29:E30)))</f>
        <v>72.765732999999997</v>
      </c>
      <c r="F28" s="89">
        <f t="shared" si="9"/>
        <v>0</v>
      </c>
      <c r="G28" s="473">
        <v>0</v>
      </c>
      <c r="H28" s="89">
        <f t="shared" si="9"/>
        <v>72.765732999999997</v>
      </c>
      <c r="I28" s="89">
        <f t="shared" si="9"/>
        <v>0</v>
      </c>
      <c r="J28" s="89">
        <f t="shared" si="9"/>
        <v>0</v>
      </c>
      <c r="K28" s="89">
        <f t="shared" si="9"/>
        <v>4.3000000000000002E-5</v>
      </c>
      <c r="L28" s="473">
        <v>0</v>
      </c>
      <c r="M28" s="89">
        <f t="shared" si="9"/>
        <v>72.765776000000002</v>
      </c>
      <c r="N28" s="89">
        <f t="shared" si="9"/>
        <v>72.765732999999997</v>
      </c>
      <c r="O28" s="546"/>
      <c r="P28" s="178">
        <f t="shared" si="1"/>
        <v>0</v>
      </c>
      <c r="Q28" s="179">
        <f t="shared" si="2"/>
        <v>0</v>
      </c>
    </row>
    <row r="29" spans="1:17" ht="10.35" customHeight="1" x14ac:dyDescent="0.25">
      <c r="A29" s="418" t="s">
        <v>1994</v>
      </c>
      <c r="B29" s="549" t="s">
        <v>1072</v>
      </c>
      <c r="C29" s="602" t="s">
        <v>2981</v>
      </c>
      <c r="D29" s="532" t="s">
        <v>48</v>
      </c>
      <c r="E29" s="89">
        <v>72.765732999999997</v>
      </c>
      <c r="F29" s="89">
        <v>0</v>
      </c>
      <c r="G29" s="473">
        <v>0</v>
      </c>
      <c r="H29" s="89">
        <f>IF(OR(E29="NA",F29="NA"),"NA",IF(AND(E29="",F29=""),"",SUM(E29:G29)))</f>
        <v>72.765732999999997</v>
      </c>
      <c r="I29" s="89">
        <v>0</v>
      </c>
      <c r="J29" s="89">
        <v>0</v>
      </c>
      <c r="K29" s="89">
        <v>4.3000000000000002E-5</v>
      </c>
      <c r="L29" s="473">
        <v>0</v>
      </c>
      <c r="M29" s="89">
        <f>IF(OR(H29="NA",I29="NA",J29="NA",K29="NA"),"NA",IF(AND(H29="",I29="",J29="",K29=""),"",SUM(H29:L29)))</f>
        <v>72.765776000000002</v>
      </c>
      <c r="N29" s="89">
        <f>H29+I29</f>
        <v>72.765732999999997</v>
      </c>
      <c r="O29" s="546"/>
      <c r="P29" s="178">
        <f t="shared" si="1"/>
        <v>0</v>
      </c>
      <c r="Q29" s="179">
        <f t="shared" si="2"/>
        <v>0</v>
      </c>
    </row>
    <row r="30" spans="1:17" ht="10.35" customHeight="1" x14ac:dyDescent="0.25">
      <c r="A30" s="418" t="s">
        <v>1995</v>
      </c>
      <c r="B30" s="549" t="s">
        <v>1073</v>
      </c>
      <c r="C30" s="602" t="s">
        <v>2982</v>
      </c>
      <c r="D30" s="532" t="s">
        <v>48</v>
      </c>
      <c r="E30" s="89">
        <v>0</v>
      </c>
      <c r="F30" s="89">
        <v>0</v>
      </c>
      <c r="G30" s="473">
        <v>0</v>
      </c>
      <c r="H30" s="89">
        <f t="shared" ref="H30:H33" si="10">IF(OR(E30="NA",F30="NA"),"NA",IF(AND(E30="",F30=""),"",SUM(E30:G30)))</f>
        <v>0</v>
      </c>
      <c r="I30" s="89">
        <v>0</v>
      </c>
      <c r="J30" s="89">
        <v>0</v>
      </c>
      <c r="K30" s="89">
        <v>0</v>
      </c>
      <c r="L30" s="473">
        <v>0</v>
      </c>
      <c r="M30" s="89">
        <f>IF(OR(H30="NA",I30="NA",J30="NA",K30="NA"),"NA",IF(AND(H30="",I30="",J30="",K30=""),"",SUM(H30:L30)))</f>
        <v>0</v>
      </c>
      <c r="N30" s="89">
        <f>H30+I30</f>
        <v>0</v>
      </c>
      <c r="O30" s="546"/>
      <c r="P30" s="178">
        <f t="shared" si="1"/>
        <v>0</v>
      </c>
      <c r="Q30" s="179">
        <f t="shared" si="2"/>
        <v>0</v>
      </c>
    </row>
    <row r="31" spans="1:17" ht="10.35" customHeight="1" x14ac:dyDescent="0.25">
      <c r="A31" s="418" t="s">
        <v>1996</v>
      </c>
      <c r="B31" s="549" t="s">
        <v>184</v>
      </c>
      <c r="C31" s="550" t="s">
        <v>2984</v>
      </c>
      <c r="D31" s="532" t="s">
        <v>48</v>
      </c>
      <c r="E31" s="89">
        <f t="shared" ref="E31:N31" si="11">IF(OR(E32="NA",E33="NA"),"NA",IF(AND(E32="",E33=""),"",SUM(E32:E33)))</f>
        <v>74670.932438000003</v>
      </c>
      <c r="F31" s="89">
        <f t="shared" si="11"/>
        <v>14.12998</v>
      </c>
      <c r="G31" s="89">
        <f t="shared" si="11"/>
        <v>-2867.4240309999905</v>
      </c>
      <c r="H31" s="89">
        <f t="shared" si="10"/>
        <v>71817.638387000014</v>
      </c>
      <c r="I31" s="89">
        <f t="shared" si="11"/>
        <v>0</v>
      </c>
      <c r="J31" s="89">
        <f t="shared" si="11"/>
        <v>1366.4219169999999</v>
      </c>
      <c r="K31" s="89">
        <f t="shared" si="11"/>
        <v>2365.6331100000002</v>
      </c>
      <c r="L31" s="89">
        <f t="shared" si="11"/>
        <v>-57263.642900999999</v>
      </c>
      <c r="M31" s="89">
        <f t="shared" si="11"/>
        <v>18286.050513000002</v>
      </c>
      <c r="N31" s="89">
        <f t="shared" si="11"/>
        <v>71817.638386999999</v>
      </c>
      <c r="O31" s="546"/>
      <c r="P31" s="178">
        <f t="shared" si="1"/>
        <v>0</v>
      </c>
      <c r="Q31" s="179">
        <f t="shared" si="2"/>
        <v>-7.2759576141834259E-12</v>
      </c>
    </row>
    <row r="32" spans="1:17" ht="10.35" customHeight="1" x14ac:dyDescent="0.25">
      <c r="A32" s="418" t="s">
        <v>1997</v>
      </c>
      <c r="B32" s="549" t="s">
        <v>185</v>
      </c>
      <c r="C32" s="602" t="s">
        <v>2981</v>
      </c>
      <c r="D32" s="532" t="s">
        <v>48</v>
      </c>
      <c r="E32" s="89">
        <v>74676.541062999997</v>
      </c>
      <c r="F32" s="89">
        <v>14.12998</v>
      </c>
      <c r="G32" s="89">
        <v>-2801.8414439999906</v>
      </c>
      <c r="H32" s="89">
        <f t="shared" si="10"/>
        <v>71888.829599000004</v>
      </c>
      <c r="I32" s="89">
        <v>0</v>
      </c>
      <c r="J32" s="89">
        <v>1446.242931</v>
      </c>
      <c r="K32" s="89">
        <v>2281.5953610000001</v>
      </c>
      <c r="L32" s="89">
        <v>-55555.390027000001</v>
      </c>
      <c r="M32" s="89">
        <f>IF(OR(H32="NA",I32="NA",J32="NA",K32="NA",L32="NA"),"NA",IF(AND(H32="",I32="",J32="",K32="",L32=""),"",SUM(H32:L32)))</f>
        <v>20061.277864000003</v>
      </c>
      <c r="N32" s="89">
        <f>H32+I32</f>
        <v>71888.829599000004</v>
      </c>
      <c r="O32" s="546"/>
      <c r="P32" s="178">
        <f t="shared" si="1"/>
        <v>0</v>
      </c>
      <c r="Q32" s="179">
        <f t="shared" si="2"/>
        <v>0</v>
      </c>
    </row>
    <row r="33" spans="1:17" ht="10.35" customHeight="1" x14ac:dyDescent="0.25">
      <c r="A33" s="418" t="s">
        <v>1998</v>
      </c>
      <c r="B33" s="551" t="s">
        <v>186</v>
      </c>
      <c r="C33" s="605" t="s">
        <v>2982</v>
      </c>
      <c r="D33" s="553" t="s">
        <v>48</v>
      </c>
      <c r="E33" s="148">
        <v>-5.608625</v>
      </c>
      <c r="F33" s="148">
        <v>0</v>
      </c>
      <c r="G33" s="148">
        <v>-65.58258699999999</v>
      </c>
      <c r="H33" s="148">
        <f t="shared" si="10"/>
        <v>-71.191211999999993</v>
      </c>
      <c r="I33" s="148">
        <v>0</v>
      </c>
      <c r="J33" s="148">
        <v>-79.821014000000005</v>
      </c>
      <c r="K33" s="148">
        <v>84.037749000000005</v>
      </c>
      <c r="L33" s="148">
        <v>-1708.252874</v>
      </c>
      <c r="M33" s="148">
        <f>IF(OR(H33="NA",I33="NA",J33="NA",K33="NA",L33="NA"),"NA",IF(AND(H33="",I33="",J33="",K33="",L33=""),"",SUM(H33:L33)))</f>
        <v>-1775.227351</v>
      </c>
      <c r="N33" s="148">
        <f>H33+I33</f>
        <v>-71.191211999999993</v>
      </c>
      <c r="O33" s="546"/>
      <c r="P33" s="178">
        <f t="shared" si="1"/>
        <v>0</v>
      </c>
      <c r="Q33" s="179">
        <f t="shared" si="2"/>
        <v>0</v>
      </c>
    </row>
    <row r="34" spans="1:17" ht="15.75" customHeight="1" x14ac:dyDescent="0.25">
      <c r="A34" s="418" t="s">
        <v>1664</v>
      </c>
      <c r="B34" s="547" t="s">
        <v>195</v>
      </c>
      <c r="C34" s="548" t="s">
        <v>2985</v>
      </c>
      <c r="D34" s="532" t="s">
        <v>48</v>
      </c>
      <c r="E34" s="90">
        <f t="shared" ref="E34:N34" si="12">IF(OR(E35="NA",E36="NA",E37="NA"),"NA",IF(AND(E35="",E36="",E37=""),"",SUM(E35:E37)))</f>
        <v>21393.540126</v>
      </c>
      <c r="F34" s="90">
        <f t="shared" si="12"/>
        <v>15.595727999999999</v>
      </c>
      <c r="G34" s="473">
        <v>0</v>
      </c>
      <c r="H34" s="90">
        <f t="shared" si="12"/>
        <v>21409.135854</v>
      </c>
      <c r="I34" s="90">
        <f t="shared" si="12"/>
        <v>2.1115900000000001</v>
      </c>
      <c r="J34" s="90">
        <f t="shared" si="12"/>
        <v>1380.5474489999999</v>
      </c>
      <c r="K34" s="90">
        <f t="shared" si="12"/>
        <v>1580.0952130000001</v>
      </c>
      <c r="L34" s="473">
        <v>0</v>
      </c>
      <c r="M34" s="90">
        <f t="shared" si="12"/>
        <v>24371.890105999999</v>
      </c>
      <c r="N34" s="90">
        <f t="shared" si="12"/>
        <v>21411.247444000001</v>
      </c>
      <c r="O34" s="546"/>
      <c r="P34" s="178">
        <f t="shared" si="1"/>
        <v>0</v>
      </c>
      <c r="Q34" s="179">
        <f t="shared" si="2"/>
        <v>-3.637978807091713E-12</v>
      </c>
    </row>
    <row r="35" spans="1:17" ht="10.35" customHeight="1" x14ac:dyDescent="0.25">
      <c r="A35" s="418" t="s">
        <v>1665</v>
      </c>
      <c r="B35" s="549" t="s">
        <v>1074</v>
      </c>
      <c r="C35" s="550" t="s">
        <v>2986</v>
      </c>
      <c r="D35" s="532" t="s">
        <v>48</v>
      </c>
      <c r="E35" s="89">
        <v>18771.214900999999</v>
      </c>
      <c r="F35" s="89">
        <v>0</v>
      </c>
      <c r="G35" s="473">
        <v>0</v>
      </c>
      <c r="H35" s="89">
        <f>IF(OR(E35="NA",F35="NA"),"NA",IF(AND(E35="",F35=""),"",SUM(E35:G35)))</f>
        <v>18771.214900999999</v>
      </c>
      <c r="I35" s="89">
        <v>0</v>
      </c>
      <c r="J35" s="89">
        <v>0</v>
      </c>
      <c r="K35" s="89">
        <v>0</v>
      </c>
      <c r="L35" s="473">
        <v>0</v>
      </c>
      <c r="M35" s="89">
        <f>IF(OR(H35="NA",I35="NA",J35="NA",K35="NA"),"NA",IF(AND(H35="",I35="",J35="",K35=""),"",SUM(H35:L35)))</f>
        <v>18771.214900999999</v>
      </c>
      <c r="N35" s="89">
        <f>H35+I35</f>
        <v>18771.214900999999</v>
      </c>
      <c r="O35" s="546"/>
      <c r="P35" s="178">
        <f t="shared" si="1"/>
        <v>0</v>
      </c>
      <c r="Q35" s="179">
        <f t="shared" si="2"/>
        <v>0</v>
      </c>
    </row>
    <row r="36" spans="1:17" ht="10.35" customHeight="1" x14ac:dyDescent="0.25">
      <c r="A36" s="418" t="s">
        <v>1666</v>
      </c>
      <c r="B36" s="549" t="s">
        <v>1075</v>
      </c>
      <c r="C36" s="550" t="s">
        <v>2987</v>
      </c>
      <c r="D36" s="532" t="s">
        <v>48</v>
      </c>
      <c r="E36" s="89">
        <v>1613.218259</v>
      </c>
      <c r="F36" s="89">
        <v>0</v>
      </c>
      <c r="G36" s="473">
        <v>0</v>
      </c>
      <c r="H36" s="89">
        <f>IF(OR(E36="NA",F36="NA"),"NA",IF(AND(E36="",F36=""),"",SUM(E36:G36)))</f>
        <v>1613.218259</v>
      </c>
      <c r="I36" s="89">
        <v>0</v>
      </c>
      <c r="J36" s="89">
        <v>1327.857481</v>
      </c>
      <c r="K36" s="89">
        <v>1537.594194</v>
      </c>
      <c r="L36" s="473">
        <v>0</v>
      </c>
      <c r="M36" s="89">
        <f>IF(OR(H36="NA",I36="NA",J36="NA",K36="NA"),"NA",IF(AND(H36="",I36="",J36="",K36=""),"",SUM(H36:L36)))</f>
        <v>4478.6699340000005</v>
      </c>
      <c r="N36" s="89">
        <f>H36+I36</f>
        <v>1613.218259</v>
      </c>
      <c r="O36" s="546"/>
      <c r="P36" s="178">
        <f t="shared" si="1"/>
        <v>0</v>
      </c>
      <c r="Q36" s="179">
        <f t="shared" si="2"/>
        <v>0</v>
      </c>
    </row>
    <row r="37" spans="1:17" ht="10.35" customHeight="1" x14ac:dyDescent="0.25">
      <c r="A37" s="418" t="s">
        <v>1667</v>
      </c>
      <c r="B37" s="551" t="s">
        <v>1076</v>
      </c>
      <c r="C37" s="552" t="s">
        <v>2988</v>
      </c>
      <c r="D37" s="553" t="s">
        <v>48</v>
      </c>
      <c r="E37" s="148">
        <v>1009.1069660000001</v>
      </c>
      <c r="F37" s="148">
        <v>15.595727999999999</v>
      </c>
      <c r="G37" s="474">
        <v>0</v>
      </c>
      <c r="H37" s="148">
        <f>IF(OR(E37="NA",F37="NA"),"NA",IF(AND(E37="",F37=""),"",SUM(E37:G37)))</f>
        <v>1024.7026940000001</v>
      </c>
      <c r="I37" s="148">
        <v>2.1115900000000001</v>
      </c>
      <c r="J37" s="148">
        <v>52.689968</v>
      </c>
      <c r="K37" s="148">
        <v>42.501018999999999</v>
      </c>
      <c r="L37" s="474">
        <v>0</v>
      </c>
      <c r="M37" s="148">
        <f>IF(OR(H37="NA",I37="NA",J37="NA",K37="NA"),"NA",IF(AND(H37="",I37="",J37="",K37=""),"",SUM(H37:L37)))</f>
        <v>1122.005271</v>
      </c>
      <c r="N37" s="148">
        <f>H37+I37</f>
        <v>1026.814284</v>
      </c>
      <c r="O37" s="546"/>
      <c r="P37" s="178">
        <f t="shared" si="1"/>
        <v>0</v>
      </c>
      <c r="Q37" s="179">
        <f t="shared" si="2"/>
        <v>0</v>
      </c>
    </row>
    <row r="38" spans="1:17" ht="15.75" customHeight="1" x14ac:dyDescent="0.25">
      <c r="A38" s="418" t="s">
        <v>1668</v>
      </c>
      <c r="B38" s="547" t="s">
        <v>1077</v>
      </c>
      <c r="C38" s="548" t="s">
        <v>2989</v>
      </c>
      <c r="D38" s="532" t="s">
        <v>48</v>
      </c>
      <c r="E38" s="90">
        <f t="shared" ref="E38:N38" si="13">IF(OR(E39="NA",E45="NA",E48="NA"),"NA",IF(AND(E39="",E45="",E48=""),"",SUM(E39)+SUM(E45)+SUM(E48)))</f>
        <v>29717.819748000002</v>
      </c>
      <c r="F38" s="90">
        <f t="shared" si="13"/>
        <v>444.38988799999998</v>
      </c>
      <c r="G38" s="90">
        <f>IF(OR(G39="NA",G48="NA"),"NA",IF(AND(G39="",G48=""),"",SUM(G39)+SUM(G45)+SUM(G48)))</f>
        <v>-48.464147999999113</v>
      </c>
      <c r="H38" s="90">
        <f t="shared" si="13"/>
        <v>30113.745488</v>
      </c>
      <c r="I38" s="90">
        <f t="shared" si="13"/>
        <v>1459.016157</v>
      </c>
      <c r="J38" s="90">
        <f t="shared" si="13"/>
        <v>6472.9777299999996</v>
      </c>
      <c r="K38" s="90">
        <f t="shared" si="13"/>
        <v>26288.792974</v>
      </c>
      <c r="L38" s="90">
        <f>IF(OR(L39="NA",L48="NA"),"NA",IF(AND(L39="",L48=""),"",SUM(L39)+SUM(L45)+SUM(L48)))</f>
        <v>-1030.9301149999992</v>
      </c>
      <c r="M38" s="90">
        <f t="shared" si="13"/>
        <v>63303.602233999991</v>
      </c>
      <c r="N38" s="90">
        <f t="shared" si="13"/>
        <v>31572.761644999999</v>
      </c>
      <c r="O38" s="546"/>
      <c r="P38" s="178">
        <f t="shared" si="1"/>
        <v>-3.637978807091713E-12</v>
      </c>
      <c r="Q38" s="179">
        <f t="shared" si="2"/>
        <v>-1.4551915228366852E-11</v>
      </c>
    </row>
    <row r="39" spans="1:17" ht="10.35" customHeight="1" x14ac:dyDescent="0.25">
      <c r="A39" s="418" t="s">
        <v>1669</v>
      </c>
      <c r="B39" s="549" t="s">
        <v>1078</v>
      </c>
      <c r="C39" s="550" t="s">
        <v>2990</v>
      </c>
      <c r="D39" s="532" t="s">
        <v>48</v>
      </c>
      <c r="E39" s="89">
        <f t="shared" ref="E39:N39" si="14">IF(OR(E40="NA",E41="NA",E42="NA",E43="NA",E44="NA"),"NA",IF(AND(E40="",E41="",E42="",E43="",E44=""),"",SUM(E40:E44)))</f>
        <v>0</v>
      </c>
      <c r="F39" s="89">
        <f t="shared" si="14"/>
        <v>0</v>
      </c>
      <c r="G39" s="89">
        <f t="shared" si="14"/>
        <v>0</v>
      </c>
      <c r="H39" s="89">
        <f t="shared" si="14"/>
        <v>0</v>
      </c>
      <c r="I39" s="89">
        <f t="shared" si="14"/>
        <v>0</v>
      </c>
      <c r="J39" s="89">
        <f t="shared" si="14"/>
        <v>0</v>
      </c>
      <c r="K39" s="89">
        <f t="shared" si="14"/>
        <v>0</v>
      </c>
      <c r="L39" s="89">
        <f t="shared" si="14"/>
        <v>0</v>
      </c>
      <c r="M39" s="89">
        <f t="shared" si="14"/>
        <v>0</v>
      </c>
      <c r="N39" s="89">
        <f t="shared" si="14"/>
        <v>0</v>
      </c>
      <c r="O39" s="546"/>
      <c r="P39" s="178">
        <f t="shared" si="1"/>
        <v>0</v>
      </c>
      <c r="Q39" s="179">
        <f t="shared" si="2"/>
        <v>0</v>
      </c>
    </row>
    <row r="40" spans="1:17" ht="10.35" customHeight="1" x14ac:dyDescent="0.25">
      <c r="A40" s="418" t="s">
        <v>1999</v>
      </c>
      <c r="B40" s="549" t="s">
        <v>296</v>
      </c>
      <c r="C40" s="602" t="s">
        <v>2991</v>
      </c>
      <c r="D40" s="532" t="s">
        <v>48</v>
      </c>
      <c r="E40" s="89">
        <v>0</v>
      </c>
      <c r="F40" s="89">
        <v>0</v>
      </c>
      <c r="G40" s="89">
        <v>0</v>
      </c>
      <c r="H40" s="89">
        <f>IF(OR(E40="NA",F40="NA",G40="NA"),"NA",IF(AND(E40="",F40="",G40=""),"",SUM(E40:G40)))</f>
        <v>0</v>
      </c>
      <c r="I40" s="89">
        <v>0</v>
      </c>
      <c r="J40" s="89">
        <v>0</v>
      </c>
      <c r="K40" s="89">
        <v>0</v>
      </c>
      <c r="L40" s="89">
        <v>0</v>
      </c>
      <c r="M40" s="89">
        <f>IF(OR(H40="NA",I40="NA",J40="NA",K40="NA",L40="NA"),"NA",IF(AND(H40="",I40="",J40="",K40="",L40=""),"",SUM(H40:L40)))</f>
        <v>0</v>
      </c>
      <c r="N40" s="89">
        <f>H40+I40</f>
        <v>0</v>
      </c>
      <c r="O40" s="546"/>
      <c r="P40" s="178">
        <f t="shared" si="1"/>
        <v>0</v>
      </c>
      <c r="Q40" s="179">
        <f t="shared" si="2"/>
        <v>0</v>
      </c>
    </row>
    <row r="41" spans="1:17" ht="10.35" customHeight="1" x14ac:dyDescent="0.25">
      <c r="A41" s="418" t="s">
        <v>2000</v>
      </c>
      <c r="B41" s="549" t="s">
        <v>297</v>
      </c>
      <c r="C41" s="602" t="s">
        <v>2992</v>
      </c>
      <c r="D41" s="532" t="s">
        <v>48</v>
      </c>
      <c r="E41" s="89">
        <v>0</v>
      </c>
      <c r="F41" s="89">
        <v>0</v>
      </c>
      <c r="G41" s="89">
        <v>0</v>
      </c>
      <c r="H41" s="89">
        <f>IF(OR(E41="NA",F41="NA",G41="NA"),"NA",IF(AND(E41="",F41="",G41=""),"",SUM(E41:G41)))</f>
        <v>0</v>
      </c>
      <c r="I41" s="89">
        <v>0</v>
      </c>
      <c r="J41" s="89">
        <v>0</v>
      </c>
      <c r="K41" s="89">
        <v>0</v>
      </c>
      <c r="L41" s="89">
        <v>0</v>
      </c>
      <c r="M41" s="89">
        <f>IF(OR(H41="NA",I41="NA",J41="NA",K41="NA",L41="NA"),"NA",IF(AND(H41="",I41="",J41="",K41="",L41=""),"",SUM(H41:L41)))</f>
        <v>0</v>
      </c>
      <c r="N41" s="89">
        <f t="shared" ref="N41:N44" si="15">H41+I41</f>
        <v>0</v>
      </c>
      <c r="O41" s="546"/>
      <c r="P41" s="178">
        <f t="shared" si="1"/>
        <v>0</v>
      </c>
      <c r="Q41" s="179">
        <f t="shared" si="2"/>
        <v>0</v>
      </c>
    </row>
    <row r="42" spans="1:17" ht="10.35" customHeight="1" x14ac:dyDescent="0.25">
      <c r="A42" s="418" t="s">
        <v>2001</v>
      </c>
      <c r="B42" s="549" t="s">
        <v>298</v>
      </c>
      <c r="C42" s="602" t="s">
        <v>2993</v>
      </c>
      <c r="D42" s="532" t="s">
        <v>48</v>
      </c>
      <c r="E42" s="89">
        <v>0</v>
      </c>
      <c r="F42" s="89">
        <v>0</v>
      </c>
      <c r="G42" s="89">
        <v>0</v>
      </c>
      <c r="H42" s="89">
        <f>IF(OR(E42="NA",F42="NA",G42="NA"),"NA",IF(AND(E42="",F42="",G42=""),"",SUM(E42:G42)))</f>
        <v>0</v>
      </c>
      <c r="I42" s="89">
        <v>0</v>
      </c>
      <c r="J42" s="89">
        <v>0</v>
      </c>
      <c r="K42" s="89">
        <v>0</v>
      </c>
      <c r="L42" s="89">
        <v>0</v>
      </c>
      <c r="M42" s="89">
        <f>IF(OR(H42="NA",I42="NA",J42="NA",K42="NA",L42="NA"),"NA",IF(AND(H42="",I42="",J42="",K42="",L42=""),"",SUM(H42:L42)))</f>
        <v>0</v>
      </c>
      <c r="N42" s="89">
        <f t="shared" si="15"/>
        <v>0</v>
      </c>
      <c r="O42" s="546"/>
      <c r="P42" s="178">
        <f t="shared" si="1"/>
        <v>0</v>
      </c>
      <c r="Q42" s="179">
        <f t="shared" si="2"/>
        <v>0</v>
      </c>
    </row>
    <row r="43" spans="1:17" ht="10.35" customHeight="1" x14ac:dyDescent="0.25">
      <c r="A43" s="418" t="s">
        <v>2002</v>
      </c>
      <c r="B43" s="549" t="s">
        <v>299</v>
      </c>
      <c r="C43" s="602" t="s">
        <v>2994</v>
      </c>
      <c r="D43" s="532" t="s">
        <v>48</v>
      </c>
      <c r="E43" s="89">
        <v>0</v>
      </c>
      <c r="F43" s="89">
        <v>0</v>
      </c>
      <c r="G43" s="89">
        <v>0</v>
      </c>
      <c r="H43" s="89">
        <f>IF(OR(E43="NA",F43="NA",G43="NA"),"NA",IF(AND(E43="",F43="",G43=""),"",SUM(E43:G43)))</f>
        <v>0</v>
      </c>
      <c r="I43" s="89">
        <v>0</v>
      </c>
      <c r="J43" s="89">
        <v>0</v>
      </c>
      <c r="K43" s="89">
        <v>0</v>
      </c>
      <c r="L43" s="89">
        <v>0</v>
      </c>
      <c r="M43" s="89">
        <f>IF(OR(H43="NA",I43="NA",J43="NA",K43="NA",L43="NA"),"NA",IF(AND(H43="",I43="",J43="",K43="",L43=""),"",SUM(H43:L43)))</f>
        <v>0</v>
      </c>
      <c r="N43" s="89">
        <f t="shared" si="15"/>
        <v>0</v>
      </c>
      <c r="O43" s="546"/>
      <c r="P43" s="178">
        <f t="shared" si="1"/>
        <v>0</v>
      </c>
      <c r="Q43" s="179">
        <f t="shared" si="2"/>
        <v>0</v>
      </c>
    </row>
    <row r="44" spans="1:17" ht="10.35" customHeight="1" x14ac:dyDescent="0.25">
      <c r="A44" s="418" t="s">
        <v>2003</v>
      </c>
      <c r="B44" s="549" t="s">
        <v>300</v>
      </c>
      <c r="C44" s="602" t="s">
        <v>2995</v>
      </c>
      <c r="D44" s="532" t="s">
        <v>48</v>
      </c>
      <c r="E44" s="89">
        <v>0</v>
      </c>
      <c r="F44" s="89">
        <v>0</v>
      </c>
      <c r="G44" s="89">
        <v>0</v>
      </c>
      <c r="H44" s="89">
        <f>IF(OR(E44="NA",F44="NA",G44="NA"),"NA",IF(AND(E44="",F44="",G44=""),"",SUM(E44:G44)))</f>
        <v>0</v>
      </c>
      <c r="I44" s="89">
        <v>0</v>
      </c>
      <c r="J44" s="89">
        <v>0</v>
      </c>
      <c r="K44" s="89">
        <v>0</v>
      </c>
      <c r="L44" s="89">
        <v>0</v>
      </c>
      <c r="M44" s="89">
        <f>IF(OR(H44="NA",I44="NA",J44="NA",K44="NA",L44="NA"),"NA",IF(AND(H44="",I44="",J44="",K44="",L44=""),"",SUM(H44:L44)))</f>
        <v>0</v>
      </c>
      <c r="N44" s="89">
        <f t="shared" si="15"/>
        <v>0</v>
      </c>
      <c r="O44" s="546"/>
      <c r="P44" s="178">
        <f t="shared" si="1"/>
        <v>0</v>
      </c>
      <c r="Q44" s="179">
        <f t="shared" si="2"/>
        <v>0</v>
      </c>
    </row>
    <row r="45" spans="1:17" ht="10.35" customHeight="1" x14ac:dyDescent="0.25">
      <c r="A45" s="418" t="s">
        <v>1670</v>
      </c>
      <c r="B45" s="549" t="s">
        <v>1079</v>
      </c>
      <c r="C45" s="550" t="s">
        <v>2996</v>
      </c>
      <c r="D45" s="532" t="s">
        <v>48</v>
      </c>
      <c r="E45" s="89">
        <f t="shared" ref="E45:N45" si="16">IF(OR(E46="NA",E47="NA"),"NA",IF(AND(E46="",E47=""),"",SUM(E46:E47)))</f>
        <v>29431.109344</v>
      </c>
      <c r="F45" s="89">
        <f t="shared" si="16"/>
        <v>428.042125</v>
      </c>
      <c r="G45" s="473">
        <v>-48.464147999999113</v>
      </c>
      <c r="H45" s="89">
        <f t="shared" si="16"/>
        <v>29810.687321000001</v>
      </c>
      <c r="I45" s="89">
        <f t="shared" si="16"/>
        <v>1454.7170169999999</v>
      </c>
      <c r="J45" s="89">
        <f t="shared" si="16"/>
        <v>6430.0664419999994</v>
      </c>
      <c r="K45" s="89">
        <f t="shared" si="16"/>
        <v>26135.231053</v>
      </c>
      <c r="L45" s="473">
        <v>-1030.9301149999992</v>
      </c>
      <c r="M45" s="89">
        <f t="shared" si="16"/>
        <v>62799.771717999989</v>
      </c>
      <c r="N45" s="89">
        <f t="shared" si="16"/>
        <v>31265.404338</v>
      </c>
      <c r="O45" s="546"/>
      <c r="P45" s="178">
        <f t="shared" si="1"/>
        <v>0</v>
      </c>
      <c r="Q45" s="179">
        <f t="shared" si="2"/>
        <v>-1.4551915228366852E-11</v>
      </c>
    </row>
    <row r="46" spans="1:17" ht="10.35" customHeight="1" x14ac:dyDescent="0.25">
      <c r="A46" s="418" t="s">
        <v>1671</v>
      </c>
      <c r="B46" s="549" t="s">
        <v>1080</v>
      </c>
      <c r="C46" s="602" t="s">
        <v>2925</v>
      </c>
      <c r="D46" s="532" t="s">
        <v>48</v>
      </c>
      <c r="E46" s="89">
        <v>27808.100700999999</v>
      </c>
      <c r="F46" s="89">
        <v>426.09865000000002</v>
      </c>
      <c r="G46" s="473">
        <v>-48.464147999999113</v>
      </c>
      <c r="H46" s="89">
        <f>IF(OR(E46="NA",F46="NA"),"NA",IF(AND(E46="",F46=""),"",SUM(E46:G46)))</f>
        <v>28185.735203</v>
      </c>
      <c r="I46" s="89">
        <v>1452.697985</v>
      </c>
      <c r="J46" s="89">
        <v>6366.4477459999998</v>
      </c>
      <c r="K46" s="89">
        <v>25173.162553999999</v>
      </c>
      <c r="L46" s="473">
        <v>-1029.5245099999993</v>
      </c>
      <c r="M46" s="89">
        <f>IF(OR(H46="NA",I46="NA",J46="NA",K46="NA"),"NA",IF(AND(H46="",I46="",J46="",K46=""),"",SUM(H46:L46)))</f>
        <v>60148.518977999993</v>
      </c>
      <c r="N46" s="89">
        <f>H46+I46</f>
        <v>29638.433187999999</v>
      </c>
      <c r="O46" s="546"/>
      <c r="P46" s="178">
        <f t="shared" si="1"/>
        <v>0</v>
      </c>
      <c r="Q46" s="179">
        <f t="shared" si="2"/>
        <v>0</v>
      </c>
    </row>
    <row r="47" spans="1:17" ht="10.35" customHeight="1" x14ac:dyDescent="0.25">
      <c r="A47" s="418" t="s">
        <v>1672</v>
      </c>
      <c r="B47" s="549" t="s">
        <v>1081</v>
      </c>
      <c r="C47" s="602" t="s">
        <v>2926</v>
      </c>
      <c r="D47" s="532" t="s">
        <v>48</v>
      </c>
      <c r="E47" s="89">
        <v>1623.0086429999999</v>
      </c>
      <c r="F47" s="89">
        <v>1.9434750000000001</v>
      </c>
      <c r="G47" s="473">
        <v>0</v>
      </c>
      <c r="H47" s="89">
        <f>IF(OR(E47="NA",F47="NA"),"NA",IF(AND(E47="",F47=""),"",SUM(E47:G47)))</f>
        <v>1624.9521179999999</v>
      </c>
      <c r="I47" s="89">
        <v>2.0190320000000002</v>
      </c>
      <c r="J47" s="89">
        <v>63.618696</v>
      </c>
      <c r="K47" s="89">
        <v>962.06849899999997</v>
      </c>
      <c r="L47" s="473">
        <v>-1.4056049999999232</v>
      </c>
      <c r="M47" s="89">
        <f>IF(OR(H47="NA",I47="NA",J47="NA",K47="NA"),"NA",IF(AND(H47="",I47="",J47="",K47=""),"",SUM(H47:L47)))</f>
        <v>2651.2527399999999</v>
      </c>
      <c r="N47" s="89">
        <f>H47+I47</f>
        <v>1626.9711499999999</v>
      </c>
      <c r="O47" s="615"/>
      <c r="P47" s="178">
        <f t="shared" si="1"/>
        <v>0</v>
      </c>
      <c r="Q47" s="179">
        <f t="shared" si="2"/>
        <v>0</v>
      </c>
    </row>
    <row r="48" spans="1:17" ht="25.35" customHeight="1" x14ac:dyDescent="0.25">
      <c r="A48" s="418" t="s">
        <v>2408</v>
      </c>
      <c r="B48" s="549" t="s">
        <v>304</v>
      </c>
      <c r="C48" s="622" t="s">
        <v>2999</v>
      </c>
      <c r="D48" s="611" t="s">
        <v>48</v>
      </c>
      <c r="E48" s="89">
        <f t="shared" ref="E48:N48" si="17">IF(OR(E49="NA",E53="NA"),"NA",IF(AND(E49="",E53=""),"",SUM(E49)+SUM(E53)))</f>
        <v>286.71040399999998</v>
      </c>
      <c r="F48" s="89">
        <f t="shared" si="17"/>
        <v>16.347763</v>
      </c>
      <c r="G48" s="89">
        <f t="shared" si="17"/>
        <v>0</v>
      </c>
      <c r="H48" s="89">
        <f t="shared" si="17"/>
        <v>303.05816700000003</v>
      </c>
      <c r="I48" s="89">
        <f t="shared" si="17"/>
        <v>4.2991400000000004</v>
      </c>
      <c r="J48" s="89">
        <f t="shared" si="17"/>
        <v>42.911287999999999</v>
      </c>
      <c r="K48" s="89">
        <f t="shared" si="17"/>
        <v>153.56192100000001</v>
      </c>
      <c r="L48" s="89">
        <f t="shared" si="17"/>
        <v>0</v>
      </c>
      <c r="M48" s="89">
        <f t="shared" ref="M48:M52" si="18">IF(OR(H48="NA",I48="NA",J48="NA",K48="NA",L48="NA"),"NA",IF(AND(H48="",I48="",J48="",K48="",L48=""),"",SUM(H48:L48)))</f>
        <v>503.8305160000001</v>
      </c>
      <c r="N48" s="89">
        <f t="shared" si="17"/>
        <v>307.35730700000005</v>
      </c>
      <c r="O48" s="546"/>
      <c r="P48" s="178">
        <f t="shared" si="1"/>
        <v>5.6843418860808015E-14</v>
      </c>
      <c r="Q48" s="179">
        <f t="shared" si="2"/>
        <v>0</v>
      </c>
    </row>
    <row r="49" spans="1:17" ht="10.35" customHeight="1" x14ac:dyDescent="0.25">
      <c r="A49" s="418" t="s">
        <v>2409</v>
      </c>
      <c r="B49" s="549" t="s">
        <v>305</v>
      </c>
      <c r="C49" s="602" t="s">
        <v>2997</v>
      </c>
      <c r="D49" s="611" t="s">
        <v>48</v>
      </c>
      <c r="E49" s="89">
        <v>286.71040399999998</v>
      </c>
      <c r="F49" s="89">
        <v>16.347763</v>
      </c>
      <c r="G49" s="89">
        <v>0</v>
      </c>
      <c r="H49" s="89">
        <v>303.05816700000003</v>
      </c>
      <c r="I49" s="89">
        <v>4.2991400000000004</v>
      </c>
      <c r="J49" s="89">
        <v>42.911287999999999</v>
      </c>
      <c r="K49" s="89">
        <v>153.56192100000001</v>
      </c>
      <c r="L49" s="89">
        <v>0</v>
      </c>
      <c r="M49" s="89">
        <f t="shared" si="18"/>
        <v>503.8305160000001</v>
      </c>
      <c r="N49" s="89">
        <f>H49+I49</f>
        <v>307.35730700000005</v>
      </c>
      <c r="O49" s="546"/>
      <c r="P49" s="178">
        <f t="shared" si="1"/>
        <v>5.6843418860808015E-14</v>
      </c>
      <c r="Q49" s="179">
        <f t="shared" si="2"/>
        <v>0</v>
      </c>
    </row>
    <row r="50" spans="1:17" s="271" customFormat="1" ht="10.35" hidden="1" customHeight="1" x14ac:dyDescent="0.25">
      <c r="A50" s="418" t="s">
        <v>2410</v>
      </c>
      <c r="B50" s="549" t="s">
        <v>306</v>
      </c>
      <c r="C50" s="603" t="s">
        <v>2998</v>
      </c>
      <c r="D50" s="611" t="s">
        <v>48</v>
      </c>
      <c r="E50" s="424" t="s">
        <v>2622</v>
      </c>
      <c r="F50" s="424" t="s">
        <v>2622</v>
      </c>
      <c r="G50" s="424" t="s">
        <v>2622</v>
      </c>
      <c r="H50" s="424" t="s">
        <v>2622</v>
      </c>
      <c r="I50" s="424" t="s">
        <v>2622</v>
      </c>
      <c r="J50" s="424" t="s">
        <v>2622</v>
      </c>
      <c r="K50" s="424" t="s">
        <v>2622</v>
      </c>
      <c r="L50" s="424" t="s">
        <v>2622</v>
      </c>
      <c r="M50" s="146" t="str">
        <f t="shared" si="18"/>
        <v>NA</v>
      </c>
      <c r="N50" s="424" t="s">
        <v>2622</v>
      </c>
      <c r="O50" s="546"/>
      <c r="P50" s="376" t="str">
        <f t="shared" si="1"/>
        <v>NA</v>
      </c>
      <c r="Q50" s="377" t="str">
        <f t="shared" si="2"/>
        <v>NA</v>
      </c>
    </row>
    <row r="51" spans="1:17" s="271" customFormat="1" ht="10.35" hidden="1" customHeight="1" x14ac:dyDescent="0.25">
      <c r="A51" s="418" t="s">
        <v>2411</v>
      </c>
      <c r="B51" s="549" t="s">
        <v>307</v>
      </c>
      <c r="C51" s="603" t="s">
        <v>2955</v>
      </c>
      <c r="D51" s="611" t="s">
        <v>48</v>
      </c>
      <c r="E51" s="424" t="s">
        <v>2622</v>
      </c>
      <c r="F51" s="424" t="s">
        <v>2622</v>
      </c>
      <c r="G51" s="424" t="s">
        <v>2622</v>
      </c>
      <c r="H51" s="424" t="s">
        <v>2622</v>
      </c>
      <c r="I51" s="424" t="s">
        <v>2622</v>
      </c>
      <c r="J51" s="424" t="s">
        <v>2622</v>
      </c>
      <c r="K51" s="424" t="s">
        <v>2622</v>
      </c>
      <c r="L51" s="424" t="s">
        <v>2622</v>
      </c>
      <c r="M51" s="146" t="str">
        <f t="shared" si="18"/>
        <v>NA</v>
      </c>
      <c r="N51" s="424" t="s">
        <v>2622</v>
      </c>
      <c r="O51" s="546"/>
      <c r="P51" s="376" t="str">
        <f t="shared" si="1"/>
        <v>NA</v>
      </c>
      <c r="Q51" s="377" t="str">
        <f t="shared" si="2"/>
        <v>NA</v>
      </c>
    </row>
    <row r="52" spans="1:17" s="271" customFormat="1" ht="10.35" hidden="1" customHeight="1" x14ac:dyDescent="0.25">
      <c r="A52" s="418" t="s">
        <v>2412</v>
      </c>
      <c r="B52" s="549" t="s">
        <v>308</v>
      </c>
      <c r="C52" s="603" t="s">
        <v>2956</v>
      </c>
      <c r="D52" s="611" t="s">
        <v>48</v>
      </c>
      <c r="E52" s="424" t="s">
        <v>2622</v>
      </c>
      <c r="F52" s="424" t="s">
        <v>2622</v>
      </c>
      <c r="G52" s="424" t="s">
        <v>2622</v>
      </c>
      <c r="H52" s="424" t="s">
        <v>2622</v>
      </c>
      <c r="I52" s="424" t="s">
        <v>2622</v>
      </c>
      <c r="J52" s="424" t="s">
        <v>2622</v>
      </c>
      <c r="K52" s="424" t="s">
        <v>2622</v>
      </c>
      <c r="L52" s="424" t="s">
        <v>2622</v>
      </c>
      <c r="M52" s="146" t="str">
        <f t="shared" si="18"/>
        <v>NA</v>
      </c>
      <c r="N52" s="424" t="s">
        <v>2622</v>
      </c>
      <c r="O52" s="546"/>
      <c r="P52" s="376" t="str">
        <f t="shared" si="1"/>
        <v>NA</v>
      </c>
      <c r="Q52" s="377" t="str">
        <f t="shared" si="2"/>
        <v>NA</v>
      </c>
    </row>
    <row r="53" spans="1:17" ht="10.35" customHeight="1" x14ac:dyDescent="0.25">
      <c r="A53" s="418" t="s">
        <v>2413</v>
      </c>
      <c r="B53" s="536" t="s">
        <v>309</v>
      </c>
      <c r="C53" s="608" t="s">
        <v>2957</v>
      </c>
      <c r="D53" s="623" t="s">
        <v>48</v>
      </c>
      <c r="E53" s="146">
        <v>0</v>
      </c>
      <c r="F53" s="146">
        <v>0</v>
      </c>
      <c r="G53" s="146">
        <v>0</v>
      </c>
      <c r="H53" s="146">
        <f>IF(OR(E53="NA",F53="NA",G53="NA"),"NA",IF(AND(E53="",F53="",G53=""),"",SUM(E53:G53)))</f>
        <v>0</v>
      </c>
      <c r="I53" s="146">
        <v>0</v>
      </c>
      <c r="J53" s="146">
        <v>0</v>
      </c>
      <c r="K53" s="147">
        <v>0</v>
      </c>
      <c r="L53" s="146">
        <v>0</v>
      </c>
      <c r="M53" s="146">
        <f>IF(OR(H53="NA",I53="NA",J53="NA",K53="NA",L53="NA"),"NA",IF(AND(H53="",I53="",J53="",K53="",L53=""),"",SUM(H53:L53)))</f>
        <v>0</v>
      </c>
      <c r="N53" s="146">
        <f>H53+I53</f>
        <v>0</v>
      </c>
      <c r="O53" s="546"/>
      <c r="P53" s="188">
        <f t="shared" si="1"/>
        <v>0</v>
      </c>
      <c r="Q53" s="189">
        <f t="shared" si="2"/>
        <v>0</v>
      </c>
    </row>
    <row r="54" spans="1:17" ht="13.5" hidden="1" customHeight="1" x14ac:dyDescent="0.25">
      <c r="A54" s="418"/>
      <c r="B54" s="431" t="s">
        <v>990</v>
      </c>
      <c r="C54" s="432" t="s">
        <v>2626</v>
      </c>
      <c r="D54" s="140"/>
      <c r="E54" s="374"/>
      <c r="F54" s="374"/>
      <c r="G54" s="374"/>
      <c r="H54" s="442"/>
      <c r="I54" s="374"/>
      <c r="J54" s="374"/>
      <c r="K54" s="442"/>
      <c r="L54" s="374"/>
      <c r="M54" s="443"/>
      <c r="N54" s="374"/>
      <c r="O54" s="434"/>
      <c r="P54" s="181"/>
      <c r="Q54" s="182"/>
    </row>
    <row r="55" spans="1:17" ht="15" hidden="1" customHeight="1" x14ac:dyDescent="0.25">
      <c r="A55" s="418"/>
      <c r="B55" s="423" t="s">
        <v>990</v>
      </c>
      <c r="C55" s="426" t="s">
        <v>2662</v>
      </c>
      <c r="D55" s="76"/>
      <c r="E55" s="373"/>
      <c r="F55" s="373"/>
      <c r="G55" s="373"/>
      <c r="H55" s="416"/>
      <c r="I55" s="373"/>
      <c r="J55" s="373"/>
      <c r="K55" s="416"/>
      <c r="L55" s="373"/>
      <c r="M55" s="417"/>
      <c r="N55" s="373"/>
      <c r="O55" s="434"/>
      <c r="P55" s="178"/>
      <c r="Q55" s="179"/>
    </row>
    <row r="56" spans="1:17" s="271" customFormat="1" ht="10.35" hidden="1" customHeight="1" x14ac:dyDescent="0.25">
      <c r="A56" s="418" t="s">
        <v>2004</v>
      </c>
      <c r="B56" s="418" t="s">
        <v>412</v>
      </c>
      <c r="C56" s="419" t="s">
        <v>2663</v>
      </c>
      <c r="D56" s="136" t="s">
        <v>48</v>
      </c>
      <c r="E56" s="424" t="s">
        <v>2622</v>
      </c>
      <c r="F56" s="424" t="s">
        <v>2622</v>
      </c>
      <c r="G56" s="424" t="s">
        <v>2622</v>
      </c>
      <c r="H56" s="424" t="s">
        <v>2622</v>
      </c>
      <c r="I56" s="424" t="s">
        <v>2622</v>
      </c>
      <c r="J56" s="424" t="s">
        <v>2622</v>
      </c>
      <c r="K56" s="424" t="s">
        <v>2622</v>
      </c>
      <c r="L56" s="424" t="s">
        <v>2622</v>
      </c>
      <c r="M56" s="424" t="s">
        <v>2622</v>
      </c>
      <c r="N56" s="424" t="s">
        <v>2622</v>
      </c>
      <c r="O56" s="434"/>
      <c r="P56" s="376" t="str">
        <f>IF(OR(H56="NA",E56="NA",F56="NA",G56="NA"),"NA",SUM(H56)-SUM(E56:G56))</f>
        <v>NA</v>
      </c>
      <c r="Q56" s="377" t="str">
        <f>IF(OR(M56="NA",H56="NA",I56="NA",J56="NA",K56="NA",L56="NA"),"NA",SUM(M56)-SUM(H56:L56))</f>
        <v>NA</v>
      </c>
    </row>
    <row r="57" spans="1:17" s="271" customFormat="1" ht="10.35" hidden="1" customHeight="1" x14ac:dyDescent="0.25">
      <c r="A57" s="418" t="s">
        <v>2005</v>
      </c>
      <c r="B57" s="418" t="s">
        <v>413</v>
      </c>
      <c r="C57" s="421" t="s">
        <v>2664</v>
      </c>
      <c r="D57" s="208" t="s">
        <v>48</v>
      </c>
      <c r="E57" s="424" t="s">
        <v>2622</v>
      </c>
      <c r="F57" s="424" t="s">
        <v>2622</v>
      </c>
      <c r="G57" s="424" t="s">
        <v>2622</v>
      </c>
      <c r="H57" s="424" t="s">
        <v>2622</v>
      </c>
      <c r="I57" s="424" t="s">
        <v>2622</v>
      </c>
      <c r="J57" s="424" t="s">
        <v>2622</v>
      </c>
      <c r="K57" s="424" t="s">
        <v>2622</v>
      </c>
      <c r="L57" s="424" t="s">
        <v>2622</v>
      </c>
      <c r="M57" s="424" t="s">
        <v>2622</v>
      </c>
      <c r="N57" s="424" t="s">
        <v>2622</v>
      </c>
      <c r="O57" s="434"/>
      <c r="P57" s="378" t="str">
        <f>IF(OR(H57="NA",E57="NA",F57="NA",G57="NA"),"NA",SUM(H57)-SUM(E57:G57))</f>
        <v>NA</v>
      </c>
      <c r="Q57" s="379" t="str">
        <f>IF(OR(M57="NA",H57="NA",I57="NA",J57="NA",K57="NA",L57="NA"),"NA",SUM(M57)-SUM(H57:L57))</f>
        <v>NA</v>
      </c>
    </row>
    <row r="58" spans="1:17" s="271" customFormat="1" ht="15" hidden="1" customHeight="1" x14ac:dyDescent="0.25">
      <c r="A58" s="418"/>
      <c r="B58" s="433" t="s">
        <v>990</v>
      </c>
      <c r="C58" s="426" t="s">
        <v>2646</v>
      </c>
      <c r="D58" s="427"/>
      <c r="E58" s="439"/>
      <c r="F58" s="439"/>
      <c r="G58" s="439"/>
      <c r="H58" s="440"/>
      <c r="I58" s="439"/>
      <c r="J58" s="439"/>
      <c r="K58" s="440"/>
      <c r="L58" s="439"/>
      <c r="M58" s="441"/>
      <c r="N58" s="439"/>
      <c r="O58" s="434"/>
      <c r="P58" s="428"/>
      <c r="Q58" s="429"/>
    </row>
    <row r="59" spans="1:17" s="271" customFormat="1" ht="10.35" hidden="1" customHeight="1" x14ac:dyDescent="0.25">
      <c r="A59" s="418" t="s">
        <v>2438</v>
      </c>
      <c r="B59" s="418" t="s">
        <v>552</v>
      </c>
      <c r="C59" s="419" t="s">
        <v>2665</v>
      </c>
      <c r="D59" s="136" t="s">
        <v>48</v>
      </c>
      <c r="E59" s="424" t="s">
        <v>2622</v>
      </c>
      <c r="F59" s="424" t="s">
        <v>2622</v>
      </c>
      <c r="G59" s="424" t="s">
        <v>2622</v>
      </c>
      <c r="H59" s="424" t="s">
        <v>2622</v>
      </c>
      <c r="I59" s="424" t="s">
        <v>2622</v>
      </c>
      <c r="J59" s="424" t="s">
        <v>2622</v>
      </c>
      <c r="K59" s="424" t="s">
        <v>2622</v>
      </c>
      <c r="L59" s="424" t="s">
        <v>2622</v>
      </c>
      <c r="M59" s="424" t="s">
        <v>2622</v>
      </c>
      <c r="N59" s="424" t="s">
        <v>2622</v>
      </c>
      <c r="O59" s="434"/>
      <c r="P59" s="376" t="str">
        <f t="shared" ref="P59:P66" si="19">IF(OR(H59="NA",E59="NA",F59="NA",G59="NA"),"NA",SUM(H59)-SUM(E59:G59))</f>
        <v>NA</v>
      </c>
      <c r="Q59" s="377" t="str">
        <f t="shared" ref="Q59:Q66" si="20">IF(OR(M59="NA",H59="NA",I59="NA",J59="NA",K59="NA",L59="NA"),"NA",SUM(M59)-SUM(H59:L59))</f>
        <v>NA</v>
      </c>
    </row>
    <row r="60" spans="1:17" s="271" customFormat="1" ht="10.35" hidden="1" customHeight="1" x14ac:dyDescent="0.25">
      <c r="A60" s="418" t="s">
        <v>2439</v>
      </c>
      <c r="B60" s="418" t="s">
        <v>553</v>
      </c>
      <c r="C60" s="419" t="s">
        <v>2666</v>
      </c>
      <c r="D60" s="136" t="s">
        <v>48</v>
      </c>
      <c r="E60" s="424" t="s">
        <v>2622</v>
      </c>
      <c r="F60" s="424" t="s">
        <v>2622</v>
      </c>
      <c r="G60" s="424" t="s">
        <v>2622</v>
      </c>
      <c r="H60" s="424" t="s">
        <v>2622</v>
      </c>
      <c r="I60" s="424" t="s">
        <v>2622</v>
      </c>
      <c r="J60" s="424" t="s">
        <v>2622</v>
      </c>
      <c r="K60" s="424" t="s">
        <v>2622</v>
      </c>
      <c r="L60" s="424" t="s">
        <v>2622</v>
      </c>
      <c r="M60" s="424" t="s">
        <v>2622</v>
      </c>
      <c r="N60" s="424" t="s">
        <v>2622</v>
      </c>
      <c r="O60" s="434"/>
      <c r="P60" s="376" t="str">
        <f t="shared" si="19"/>
        <v>NA</v>
      </c>
      <c r="Q60" s="377" t="str">
        <f t="shared" si="20"/>
        <v>NA</v>
      </c>
    </row>
    <row r="61" spans="1:17" s="271" customFormat="1" ht="10.35" hidden="1" customHeight="1" x14ac:dyDescent="0.25">
      <c r="A61" s="418" t="s">
        <v>2440</v>
      </c>
      <c r="B61" s="418" t="s">
        <v>556</v>
      </c>
      <c r="C61" s="419" t="s">
        <v>2667</v>
      </c>
      <c r="D61" s="136" t="s">
        <v>48</v>
      </c>
      <c r="E61" s="424" t="s">
        <v>2622</v>
      </c>
      <c r="F61" s="424" t="s">
        <v>2622</v>
      </c>
      <c r="G61" s="424" t="s">
        <v>2622</v>
      </c>
      <c r="H61" s="424" t="s">
        <v>2622</v>
      </c>
      <c r="I61" s="424" t="s">
        <v>2622</v>
      </c>
      <c r="J61" s="424" t="s">
        <v>2622</v>
      </c>
      <c r="K61" s="424" t="s">
        <v>2622</v>
      </c>
      <c r="L61" s="424" t="s">
        <v>2622</v>
      </c>
      <c r="M61" s="424" t="s">
        <v>2622</v>
      </c>
      <c r="N61" s="424" t="s">
        <v>2622</v>
      </c>
      <c r="O61" s="434"/>
      <c r="P61" s="376" t="str">
        <f t="shared" si="19"/>
        <v>NA</v>
      </c>
      <c r="Q61" s="377" t="str">
        <f t="shared" si="20"/>
        <v>NA</v>
      </c>
    </row>
    <row r="62" spans="1:17" s="271" customFormat="1" ht="10.35" hidden="1" customHeight="1" x14ac:dyDescent="0.25">
      <c r="A62" s="418" t="s">
        <v>2441</v>
      </c>
      <c r="B62" s="418" t="s">
        <v>554</v>
      </c>
      <c r="C62" s="419" t="s">
        <v>2668</v>
      </c>
      <c r="D62" s="136" t="s">
        <v>48</v>
      </c>
      <c r="E62" s="424" t="s">
        <v>2622</v>
      </c>
      <c r="F62" s="424" t="s">
        <v>2622</v>
      </c>
      <c r="G62" s="424" t="s">
        <v>2622</v>
      </c>
      <c r="H62" s="424" t="s">
        <v>2622</v>
      </c>
      <c r="I62" s="424" t="s">
        <v>2622</v>
      </c>
      <c r="J62" s="424" t="s">
        <v>2622</v>
      </c>
      <c r="K62" s="424" t="s">
        <v>2622</v>
      </c>
      <c r="L62" s="424" t="s">
        <v>2622</v>
      </c>
      <c r="M62" s="424" t="s">
        <v>2622</v>
      </c>
      <c r="N62" s="424" t="s">
        <v>2622</v>
      </c>
      <c r="O62" s="434"/>
      <c r="P62" s="376" t="str">
        <f t="shared" si="19"/>
        <v>NA</v>
      </c>
      <c r="Q62" s="377" t="str">
        <f t="shared" si="20"/>
        <v>NA</v>
      </c>
    </row>
    <row r="63" spans="1:17" s="271" customFormat="1" ht="10.35" hidden="1" customHeight="1" x14ac:dyDescent="0.25">
      <c r="A63" s="418" t="s">
        <v>2442</v>
      </c>
      <c r="B63" s="418" t="s">
        <v>557</v>
      </c>
      <c r="C63" s="419" t="s">
        <v>2669</v>
      </c>
      <c r="D63" s="286" t="s">
        <v>48</v>
      </c>
      <c r="E63" s="424" t="s">
        <v>2622</v>
      </c>
      <c r="F63" s="424" t="s">
        <v>2622</v>
      </c>
      <c r="G63" s="424" t="s">
        <v>2622</v>
      </c>
      <c r="H63" s="424" t="s">
        <v>2622</v>
      </c>
      <c r="I63" s="424" t="s">
        <v>2622</v>
      </c>
      <c r="J63" s="424" t="s">
        <v>2622</v>
      </c>
      <c r="K63" s="424" t="s">
        <v>2622</v>
      </c>
      <c r="L63" s="424" t="s">
        <v>2622</v>
      </c>
      <c r="M63" s="424" t="s">
        <v>2622</v>
      </c>
      <c r="N63" s="424" t="s">
        <v>2622</v>
      </c>
      <c r="O63" s="434"/>
      <c r="P63" s="376" t="str">
        <f t="shared" si="19"/>
        <v>NA</v>
      </c>
      <c r="Q63" s="377" t="str">
        <f t="shared" si="20"/>
        <v>NA</v>
      </c>
    </row>
    <row r="64" spans="1:17" s="271" customFormat="1" ht="10.35" hidden="1" customHeight="1" x14ac:dyDescent="0.25">
      <c r="A64" s="418" t="s">
        <v>2443</v>
      </c>
      <c r="B64" s="418" t="s">
        <v>594</v>
      </c>
      <c r="C64" s="425" t="s">
        <v>2670</v>
      </c>
      <c r="D64" s="286" t="s">
        <v>48</v>
      </c>
      <c r="E64" s="424" t="s">
        <v>2622</v>
      </c>
      <c r="F64" s="424" t="s">
        <v>2622</v>
      </c>
      <c r="G64" s="424" t="s">
        <v>2622</v>
      </c>
      <c r="H64" s="424" t="s">
        <v>2622</v>
      </c>
      <c r="I64" s="424" t="s">
        <v>2622</v>
      </c>
      <c r="J64" s="424" t="s">
        <v>2622</v>
      </c>
      <c r="K64" s="424" t="s">
        <v>2622</v>
      </c>
      <c r="L64" s="424" t="s">
        <v>2622</v>
      </c>
      <c r="M64" s="424" t="s">
        <v>2622</v>
      </c>
      <c r="N64" s="424" t="s">
        <v>2622</v>
      </c>
      <c r="O64" s="434"/>
      <c r="P64" s="376" t="str">
        <f t="shared" si="19"/>
        <v>NA</v>
      </c>
      <c r="Q64" s="377" t="str">
        <f t="shared" si="20"/>
        <v>NA</v>
      </c>
    </row>
    <row r="65" spans="1:17" s="271" customFormat="1" ht="10.35" hidden="1" customHeight="1" x14ac:dyDescent="0.25">
      <c r="A65" s="418" t="s">
        <v>2444</v>
      </c>
      <c r="B65" s="418" t="s">
        <v>595</v>
      </c>
      <c r="C65" s="425" t="s">
        <v>2671</v>
      </c>
      <c r="D65" s="286" t="s">
        <v>48</v>
      </c>
      <c r="E65" s="424" t="s">
        <v>2622</v>
      </c>
      <c r="F65" s="424" t="s">
        <v>2622</v>
      </c>
      <c r="G65" s="424" t="s">
        <v>2622</v>
      </c>
      <c r="H65" s="424" t="s">
        <v>2622</v>
      </c>
      <c r="I65" s="424" t="s">
        <v>2622</v>
      </c>
      <c r="J65" s="424" t="s">
        <v>2622</v>
      </c>
      <c r="K65" s="424" t="s">
        <v>2622</v>
      </c>
      <c r="L65" s="424" t="s">
        <v>2622</v>
      </c>
      <c r="M65" s="424" t="s">
        <v>2622</v>
      </c>
      <c r="N65" s="424" t="s">
        <v>2622</v>
      </c>
      <c r="O65" s="434"/>
      <c r="P65" s="376" t="str">
        <f t="shared" si="19"/>
        <v>NA</v>
      </c>
      <c r="Q65" s="377" t="str">
        <f t="shared" si="20"/>
        <v>NA</v>
      </c>
    </row>
    <row r="66" spans="1:17" s="271" customFormat="1" ht="10.35" hidden="1" customHeight="1" x14ac:dyDescent="0.25">
      <c r="A66" s="418" t="s">
        <v>2445</v>
      </c>
      <c r="B66" s="420" t="s">
        <v>558</v>
      </c>
      <c r="C66" s="421" t="s">
        <v>2672</v>
      </c>
      <c r="D66" s="287" t="s">
        <v>48</v>
      </c>
      <c r="E66" s="424" t="s">
        <v>2622</v>
      </c>
      <c r="F66" s="424" t="s">
        <v>2622</v>
      </c>
      <c r="G66" s="424" t="s">
        <v>2622</v>
      </c>
      <c r="H66" s="424" t="s">
        <v>2622</v>
      </c>
      <c r="I66" s="424" t="s">
        <v>2622</v>
      </c>
      <c r="J66" s="424" t="s">
        <v>2622</v>
      </c>
      <c r="K66" s="424" t="s">
        <v>2622</v>
      </c>
      <c r="L66" s="424" t="s">
        <v>2622</v>
      </c>
      <c r="M66" s="424" t="s">
        <v>2622</v>
      </c>
      <c r="N66" s="424" t="s">
        <v>2622</v>
      </c>
      <c r="O66" s="434"/>
      <c r="P66" s="378" t="str">
        <f t="shared" si="19"/>
        <v>NA</v>
      </c>
      <c r="Q66" s="379" t="str">
        <f t="shared" si="20"/>
        <v>NA</v>
      </c>
    </row>
    <row r="67" spans="1:17" s="271" customFormat="1" ht="15" hidden="1" customHeight="1" x14ac:dyDescent="0.25">
      <c r="A67" s="418"/>
      <c r="B67" s="423" t="s">
        <v>990</v>
      </c>
      <c r="C67" s="426" t="s">
        <v>2653</v>
      </c>
      <c r="D67" s="286"/>
      <c r="E67" s="373"/>
      <c r="F67" s="373"/>
      <c r="G67" s="373"/>
      <c r="H67" s="416"/>
      <c r="I67" s="373"/>
      <c r="J67" s="373"/>
      <c r="K67" s="416"/>
      <c r="L67" s="373"/>
      <c r="M67" s="417"/>
      <c r="N67" s="373"/>
      <c r="O67" s="434"/>
      <c r="P67" s="376"/>
      <c r="Q67" s="377"/>
    </row>
    <row r="68" spans="1:17" s="271" customFormat="1" ht="10.35" hidden="1" customHeight="1" x14ac:dyDescent="0.25">
      <c r="A68" s="418" t="s">
        <v>2006</v>
      </c>
      <c r="B68" s="418" t="s">
        <v>1550</v>
      </c>
      <c r="C68" s="419" t="s">
        <v>2673</v>
      </c>
      <c r="D68" s="138" t="s">
        <v>48</v>
      </c>
      <c r="E68" s="424" t="s">
        <v>2622</v>
      </c>
      <c r="F68" s="424" t="s">
        <v>2622</v>
      </c>
      <c r="G68" s="424" t="s">
        <v>2622</v>
      </c>
      <c r="H68" s="424" t="s">
        <v>2622</v>
      </c>
      <c r="I68" s="424" t="s">
        <v>2622</v>
      </c>
      <c r="J68" s="424" t="s">
        <v>2622</v>
      </c>
      <c r="K68" s="424" t="s">
        <v>2622</v>
      </c>
      <c r="L68" s="424" t="s">
        <v>2622</v>
      </c>
      <c r="M68" s="424" t="s">
        <v>2622</v>
      </c>
      <c r="N68" s="424" t="s">
        <v>2622</v>
      </c>
      <c r="O68" s="434"/>
      <c r="P68" s="376" t="str">
        <f t="shared" ref="P68:P73" si="21">IF(OR(H68="NA",E68="NA",F68="NA",G68="NA"),"NA",SUM(H68)-SUM(E68:G68))</f>
        <v>NA</v>
      </c>
      <c r="Q68" s="377" t="str">
        <f t="shared" ref="Q68:Q73" si="22">IF(OR(M68="NA",H68="NA",I68="NA",J68="NA",K68="NA",L68="NA"),"NA",SUM(M68)-SUM(H68:L68))</f>
        <v>NA</v>
      </c>
    </row>
    <row r="69" spans="1:17" s="271" customFormat="1" ht="10.35" hidden="1" customHeight="1" x14ac:dyDescent="0.25">
      <c r="A69" s="418" t="s">
        <v>2007</v>
      </c>
      <c r="B69" s="418" t="s">
        <v>1551</v>
      </c>
      <c r="C69" s="419" t="s">
        <v>2674</v>
      </c>
      <c r="D69" s="138" t="s">
        <v>48</v>
      </c>
      <c r="E69" s="424" t="s">
        <v>2622</v>
      </c>
      <c r="F69" s="424" t="s">
        <v>2622</v>
      </c>
      <c r="G69" s="424" t="s">
        <v>2622</v>
      </c>
      <c r="H69" s="424" t="s">
        <v>2622</v>
      </c>
      <c r="I69" s="424" t="s">
        <v>2622</v>
      </c>
      <c r="J69" s="424" t="s">
        <v>2622</v>
      </c>
      <c r="K69" s="424" t="s">
        <v>2622</v>
      </c>
      <c r="L69" s="424" t="s">
        <v>2622</v>
      </c>
      <c r="M69" s="424" t="s">
        <v>2622</v>
      </c>
      <c r="N69" s="424" t="s">
        <v>2622</v>
      </c>
      <c r="O69" s="434"/>
      <c r="P69" s="376" t="str">
        <f t="shared" si="21"/>
        <v>NA</v>
      </c>
      <c r="Q69" s="377" t="str">
        <f t="shared" si="22"/>
        <v>NA</v>
      </c>
    </row>
    <row r="70" spans="1:17" s="271" customFormat="1" ht="10.35" hidden="1" customHeight="1" x14ac:dyDescent="0.25">
      <c r="A70" s="418" t="s">
        <v>2008</v>
      </c>
      <c r="B70" s="418" t="s">
        <v>1552</v>
      </c>
      <c r="C70" s="419" t="s">
        <v>2675</v>
      </c>
      <c r="D70" s="138" t="s">
        <v>48</v>
      </c>
      <c r="E70" s="424" t="s">
        <v>2622</v>
      </c>
      <c r="F70" s="424" t="s">
        <v>2622</v>
      </c>
      <c r="G70" s="424" t="s">
        <v>2622</v>
      </c>
      <c r="H70" s="424" t="s">
        <v>2622</v>
      </c>
      <c r="I70" s="424" t="s">
        <v>2622</v>
      </c>
      <c r="J70" s="424" t="s">
        <v>2622</v>
      </c>
      <c r="K70" s="424" t="s">
        <v>2622</v>
      </c>
      <c r="L70" s="424" t="s">
        <v>2622</v>
      </c>
      <c r="M70" s="424" t="s">
        <v>2622</v>
      </c>
      <c r="N70" s="424" t="s">
        <v>2622</v>
      </c>
      <c r="O70" s="434"/>
      <c r="P70" s="376" t="str">
        <f t="shared" si="21"/>
        <v>NA</v>
      </c>
      <c r="Q70" s="377" t="str">
        <f t="shared" si="22"/>
        <v>NA</v>
      </c>
    </row>
    <row r="71" spans="1:17" s="271" customFormat="1" ht="10.35" hidden="1" customHeight="1" x14ac:dyDescent="0.25">
      <c r="A71" s="418" t="s">
        <v>2009</v>
      </c>
      <c r="B71" s="418" t="s">
        <v>1553</v>
      </c>
      <c r="C71" s="419" t="s">
        <v>2676</v>
      </c>
      <c r="D71" s="138" t="s">
        <v>48</v>
      </c>
      <c r="E71" s="424" t="s">
        <v>2622</v>
      </c>
      <c r="F71" s="424" t="s">
        <v>2622</v>
      </c>
      <c r="G71" s="424" t="s">
        <v>2622</v>
      </c>
      <c r="H71" s="424" t="s">
        <v>2622</v>
      </c>
      <c r="I71" s="424" t="s">
        <v>2622</v>
      </c>
      <c r="J71" s="424" t="s">
        <v>2622</v>
      </c>
      <c r="K71" s="424" t="s">
        <v>2622</v>
      </c>
      <c r="L71" s="424" t="s">
        <v>2622</v>
      </c>
      <c r="M71" s="424" t="s">
        <v>2622</v>
      </c>
      <c r="N71" s="424" t="s">
        <v>2622</v>
      </c>
      <c r="O71" s="434"/>
      <c r="P71" s="376" t="str">
        <f t="shared" si="21"/>
        <v>NA</v>
      </c>
      <c r="Q71" s="377" t="str">
        <f t="shared" si="22"/>
        <v>NA</v>
      </c>
    </row>
    <row r="72" spans="1:17" s="271" customFormat="1" ht="10.35" hidden="1" customHeight="1" x14ac:dyDescent="0.25">
      <c r="A72" s="418" t="s">
        <v>2010</v>
      </c>
      <c r="B72" s="418" t="s">
        <v>1554</v>
      </c>
      <c r="C72" s="419" t="s">
        <v>2677</v>
      </c>
      <c r="D72" s="138" t="s">
        <v>48</v>
      </c>
      <c r="E72" s="424" t="s">
        <v>2622</v>
      </c>
      <c r="F72" s="424" t="s">
        <v>2622</v>
      </c>
      <c r="G72" s="424" t="s">
        <v>2622</v>
      </c>
      <c r="H72" s="424" t="s">
        <v>2622</v>
      </c>
      <c r="I72" s="424" t="s">
        <v>2622</v>
      </c>
      <c r="J72" s="424" t="s">
        <v>2622</v>
      </c>
      <c r="K72" s="424" t="s">
        <v>2622</v>
      </c>
      <c r="L72" s="424" t="s">
        <v>2622</v>
      </c>
      <c r="M72" s="424" t="s">
        <v>2622</v>
      </c>
      <c r="N72" s="424" t="s">
        <v>2622</v>
      </c>
      <c r="O72" s="434"/>
      <c r="P72" s="376" t="str">
        <f t="shared" si="21"/>
        <v>NA</v>
      </c>
      <c r="Q72" s="377" t="str">
        <f t="shared" si="22"/>
        <v>NA</v>
      </c>
    </row>
    <row r="73" spans="1:17" s="271" customFormat="1" ht="10.35" hidden="1" customHeight="1" x14ac:dyDescent="0.25">
      <c r="A73" s="418" t="s">
        <v>2011</v>
      </c>
      <c r="B73" s="418" t="s">
        <v>1555</v>
      </c>
      <c r="C73" s="419" t="s">
        <v>2678</v>
      </c>
      <c r="D73" s="138" t="s">
        <v>48</v>
      </c>
      <c r="E73" s="424" t="s">
        <v>2622</v>
      </c>
      <c r="F73" s="424" t="s">
        <v>2622</v>
      </c>
      <c r="G73" s="424" t="s">
        <v>2622</v>
      </c>
      <c r="H73" s="424" t="s">
        <v>2622</v>
      </c>
      <c r="I73" s="424" t="s">
        <v>2622</v>
      </c>
      <c r="J73" s="424" t="s">
        <v>2622</v>
      </c>
      <c r="K73" s="424" t="s">
        <v>2622</v>
      </c>
      <c r="L73" s="424" t="s">
        <v>2622</v>
      </c>
      <c r="M73" s="424" t="s">
        <v>2622</v>
      </c>
      <c r="N73" s="424" t="s">
        <v>2622</v>
      </c>
      <c r="O73" s="434"/>
      <c r="P73" s="376" t="str">
        <f t="shared" si="21"/>
        <v>NA</v>
      </c>
      <c r="Q73" s="377" t="str">
        <f t="shared" si="22"/>
        <v>NA</v>
      </c>
    </row>
    <row r="74" spans="1:17" s="271" customFormat="1" ht="15" hidden="1" customHeight="1" x14ac:dyDescent="0.25">
      <c r="A74" s="418"/>
      <c r="B74" s="423" t="s">
        <v>990</v>
      </c>
      <c r="C74" s="426" t="s">
        <v>2660</v>
      </c>
      <c r="D74" s="286"/>
      <c r="E74" s="373"/>
      <c r="F74" s="373"/>
      <c r="G74" s="373"/>
      <c r="H74" s="416"/>
      <c r="I74" s="373"/>
      <c r="J74" s="373"/>
      <c r="K74" s="416"/>
      <c r="L74" s="373"/>
      <c r="M74" s="417"/>
      <c r="N74" s="373"/>
      <c r="O74" s="434"/>
      <c r="P74" s="376"/>
      <c r="Q74" s="377"/>
    </row>
    <row r="75" spans="1:17" s="271" customFormat="1" ht="10.35" hidden="1" customHeight="1" x14ac:dyDescent="0.25">
      <c r="A75" s="418" t="s">
        <v>2012</v>
      </c>
      <c r="B75" s="418" t="s">
        <v>1461</v>
      </c>
      <c r="C75" s="419" t="s">
        <v>2673</v>
      </c>
      <c r="D75" s="138" t="s">
        <v>48</v>
      </c>
      <c r="E75" s="424" t="s">
        <v>2622</v>
      </c>
      <c r="F75" s="424" t="s">
        <v>2622</v>
      </c>
      <c r="G75" s="424" t="s">
        <v>2622</v>
      </c>
      <c r="H75" s="424" t="s">
        <v>2622</v>
      </c>
      <c r="I75" s="424" t="s">
        <v>2622</v>
      </c>
      <c r="J75" s="424" t="s">
        <v>2622</v>
      </c>
      <c r="K75" s="424" t="s">
        <v>2622</v>
      </c>
      <c r="L75" s="424" t="s">
        <v>2622</v>
      </c>
      <c r="M75" s="424" t="s">
        <v>2622</v>
      </c>
      <c r="N75" s="424" t="s">
        <v>2622</v>
      </c>
      <c r="O75" s="434"/>
      <c r="P75" s="376" t="str">
        <f t="shared" ref="P75:P80" si="23">IF(OR(H75="NA",E75="NA",F75="NA",G75="NA"),"NA",SUM(H75)-SUM(E75:G75))</f>
        <v>NA</v>
      </c>
      <c r="Q75" s="377" t="str">
        <f t="shared" ref="Q75:Q80" si="24">IF(OR(M75="NA",H75="NA",I75="NA",J75="NA",K75="NA",L75="NA"),"NA",SUM(M75)-SUM(H75:L75))</f>
        <v>NA</v>
      </c>
    </row>
    <row r="76" spans="1:17" s="271" customFormat="1" ht="10.35" hidden="1" customHeight="1" x14ac:dyDescent="0.25">
      <c r="A76" s="418" t="s">
        <v>2013</v>
      </c>
      <c r="B76" s="418" t="s">
        <v>1477</v>
      </c>
      <c r="C76" s="419" t="s">
        <v>2674</v>
      </c>
      <c r="D76" s="138" t="s">
        <v>48</v>
      </c>
      <c r="E76" s="424" t="s">
        <v>2622</v>
      </c>
      <c r="F76" s="424" t="s">
        <v>2622</v>
      </c>
      <c r="G76" s="424" t="s">
        <v>2622</v>
      </c>
      <c r="H76" s="424" t="s">
        <v>2622</v>
      </c>
      <c r="I76" s="424" t="s">
        <v>2622</v>
      </c>
      <c r="J76" s="424" t="s">
        <v>2622</v>
      </c>
      <c r="K76" s="424" t="s">
        <v>2622</v>
      </c>
      <c r="L76" s="424" t="s">
        <v>2622</v>
      </c>
      <c r="M76" s="424" t="s">
        <v>2622</v>
      </c>
      <c r="N76" s="424" t="s">
        <v>2622</v>
      </c>
      <c r="O76" s="434"/>
      <c r="P76" s="376" t="str">
        <f t="shared" si="23"/>
        <v>NA</v>
      </c>
      <c r="Q76" s="377" t="str">
        <f t="shared" si="24"/>
        <v>NA</v>
      </c>
    </row>
    <row r="77" spans="1:17" s="271" customFormat="1" ht="10.35" hidden="1" customHeight="1" x14ac:dyDescent="0.25">
      <c r="A77" s="418" t="s">
        <v>2014</v>
      </c>
      <c r="B77" s="418" t="s">
        <v>1493</v>
      </c>
      <c r="C77" s="419" t="s">
        <v>2675</v>
      </c>
      <c r="D77" s="138" t="s">
        <v>48</v>
      </c>
      <c r="E77" s="424" t="s">
        <v>2622</v>
      </c>
      <c r="F77" s="424" t="s">
        <v>2622</v>
      </c>
      <c r="G77" s="424" t="s">
        <v>2622</v>
      </c>
      <c r="H77" s="424" t="s">
        <v>2622</v>
      </c>
      <c r="I77" s="424" t="s">
        <v>2622</v>
      </c>
      <c r="J77" s="424" t="s">
        <v>2622</v>
      </c>
      <c r="K77" s="424" t="s">
        <v>2622</v>
      </c>
      <c r="L77" s="424" t="s">
        <v>2622</v>
      </c>
      <c r="M77" s="424" t="s">
        <v>2622</v>
      </c>
      <c r="N77" s="424" t="s">
        <v>2622</v>
      </c>
      <c r="O77" s="434"/>
      <c r="P77" s="376" t="str">
        <f t="shared" si="23"/>
        <v>NA</v>
      </c>
      <c r="Q77" s="377" t="str">
        <f t="shared" si="24"/>
        <v>NA</v>
      </c>
    </row>
    <row r="78" spans="1:17" s="271" customFormat="1" ht="10.35" hidden="1" customHeight="1" x14ac:dyDescent="0.25">
      <c r="A78" s="418" t="s">
        <v>2015</v>
      </c>
      <c r="B78" s="418" t="s">
        <v>1509</v>
      </c>
      <c r="C78" s="419" t="s">
        <v>2676</v>
      </c>
      <c r="D78" s="138" t="s">
        <v>48</v>
      </c>
      <c r="E78" s="424" t="s">
        <v>2622</v>
      </c>
      <c r="F78" s="424" t="s">
        <v>2622</v>
      </c>
      <c r="G78" s="424" t="s">
        <v>2622</v>
      </c>
      <c r="H78" s="424" t="s">
        <v>2622</v>
      </c>
      <c r="I78" s="424" t="s">
        <v>2622</v>
      </c>
      <c r="J78" s="424" t="s">
        <v>2622</v>
      </c>
      <c r="K78" s="424" t="s">
        <v>2622</v>
      </c>
      <c r="L78" s="424" t="s">
        <v>2622</v>
      </c>
      <c r="M78" s="424" t="s">
        <v>2622</v>
      </c>
      <c r="N78" s="424" t="s">
        <v>2622</v>
      </c>
      <c r="O78" s="434"/>
      <c r="P78" s="376" t="str">
        <f t="shared" si="23"/>
        <v>NA</v>
      </c>
      <c r="Q78" s="377" t="str">
        <f t="shared" si="24"/>
        <v>NA</v>
      </c>
    </row>
    <row r="79" spans="1:17" s="271" customFormat="1" ht="10.35" hidden="1" customHeight="1" x14ac:dyDescent="0.25">
      <c r="A79" s="418" t="s">
        <v>2016</v>
      </c>
      <c r="B79" s="418" t="s">
        <v>1525</v>
      </c>
      <c r="C79" s="419" t="s">
        <v>2677</v>
      </c>
      <c r="D79" s="138" t="s">
        <v>48</v>
      </c>
      <c r="E79" s="424" t="s">
        <v>2622</v>
      </c>
      <c r="F79" s="424" t="s">
        <v>2622</v>
      </c>
      <c r="G79" s="424" t="s">
        <v>2622</v>
      </c>
      <c r="H79" s="424" t="s">
        <v>2622</v>
      </c>
      <c r="I79" s="424" t="s">
        <v>2622</v>
      </c>
      <c r="J79" s="424" t="s">
        <v>2622</v>
      </c>
      <c r="K79" s="424" t="s">
        <v>2622</v>
      </c>
      <c r="L79" s="424" t="s">
        <v>2622</v>
      </c>
      <c r="M79" s="424" t="s">
        <v>2622</v>
      </c>
      <c r="N79" s="424" t="s">
        <v>2622</v>
      </c>
      <c r="O79" s="434"/>
      <c r="P79" s="376" t="str">
        <f t="shared" si="23"/>
        <v>NA</v>
      </c>
      <c r="Q79" s="377" t="str">
        <f t="shared" si="24"/>
        <v>NA</v>
      </c>
    </row>
    <row r="80" spans="1:17" s="271" customFormat="1" ht="10.35" hidden="1" customHeight="1" x14ac:dyDescent="0.25">
      <c r="A80" s="418" t="s">
        <v>2017</v>
      </c>
      <c r="B80" s="415" t="s">
        <v>1541</v>
      </c>
      <c r="C80" s="422" t="s">
        <v>2678</v>
      </c>
      <c r="D80" s="141" t="s">
        <v>48</v>
      </c>
      <c r="E80" s="424" t="s">
        <v>2622</v>
      </c>
      <c r="F80" s="424" t="s">
        <v>2622</v>
      </c>
      <c r="G80" s="424" t="s">
        <v>2622</v>
      </c>
      <c r="H80" s="424" t="s">
        <v>2622</v>
      </c>
      <c r="I80" s="424" t="s">
        <v>2622</v>
      </c>
      <c r="J80" s="424" t="s">
        <v>2622</v>
      </c>
      <c r="K80" s="424" t="s">
        <v>2622</v>
      </c>
      <c r="L80" s="424" t="s">
        <v>2622</v>
      </c>
      <c r="M80" s="424" t="s">
        <v>2622</v>
      </c>
      <c r="N80" s="424" t="s">
        <v>2622</v>
      </c>
      <c r="O80" s="434"/>
      <c r="P80" s="380" t="str">
        <f t="shared" si="23"/>
        <v>NA</v>
      </c>
      <c r="Q80" s="381" t="str">
        <f t="shared" si="24"/>
        <v>NA</v>
      </c>
    </row>
    <row r="81" spans="2:17" ht="10.5" customHeight="1" x14ac:dyDescent="0.25">
      <c r="B81" s="580"/>
      <c r="C81" s="531"/>
      <c r="D81" s="531"/>
      <c r="E81" s="546"/>
      <c r="F81" s="546"/>
      <c r="G81" s="546"/>
      <c r="H81" s="546"/>
      <c r="I81" s="546"/>
      <c r="J81" s="546"/>
      <c r="K81" s="546"/>
      <c r="L81" s="546"/>
      <c r="M81" s="546"/>
      <c r="N81" s="546"/>
      <c r="O81" s="546"/>
      <c r="P81" s="177"/>
      <c r="Q81" s="258"/>
    </row>
    <row r="82" spans="2:17" s="266" customFormat="1" ht="15" customHeight="1" x14ac:dyDescent="0.2">
      <c r="B82" s="717" t="s">
        <v>3000</v>
      </c>
      <c r="C82" s="264"/>
      <c r="D82" s="264"/>
      <c r="E82" s="196"/>
      <c r="F82" s="196"/>
      <c r="G82" s="196"/>
      <c r="H82" s="196"/>
      <c r="I82" s="196"/>
      <c r="J82" s="196"/>
      <c r="K82" s="196"/>
      <c r="L82" s="196"/>
      <c r="M82" s="196"/>
      <c r="N82" s="197"/>
      <c r="O82" s="265"/>
      <c r="P82" s="265"/>
      <c r="Q82" s="265"/>
    </row>
    <row r="83" spans="2:17" s="257" customFormat="1" ht="10.35" customHeight="1" x14ac:dyDescent="0.15">
      <c r="B83" s="200" t="s">
        <v>3523</v>
      </c>
      <c r="C83" s="103"/>
      <c r="D83" s="103"/>
      <c r="E83" s="231"/>
      <c r="F83" s="231"/>
      <c r="G83" s="231"/>
      <c r="H83" s="231"/>
      <c r="I83" s="231"/>
      <c r="J83" s="231"/>
      <c r="K83" s="231"/>
      <c r="L83" s="231"/>
      <c r="M83" s="231"/>
      <c r="N83" s="231"/>
      <c r="O83" s="191"/>
      <c r="P83" s="191"/>
      <c r="Q83" s="267"/>
    </row>
    <row r="84" spans="2:17" s="257" customFormat="1" ht="10.35" customHeight="1" x14ac:dyDescent="0.15">
      <c r="B84" s="190"/>
      <c r="C84" s="103" t="s">
        <v>713</v>
      </c>
      <c r="D84" s="103"/>
      <c r="E84" s="203">
        <f t="shared" ref="E84:N84" si="25">IF(OR(E8="NA",E9="NA",E14="NA",E15="NA",E16="NA",E20="NA",E24="NA",E34="NA",E38="NA"),"NA",-SUM(E8)+SUM(E9)+SUM(E14)+SUM(E15)+SUM(E16)+SUM(E20)+SUM(E24)+SUM(E34)+SUM(E38))</f>
        <v>-1.4551915228366852E-11</v>
      </c>
      <c r="F84" s="203">
        <f t="shared" si="25"/>
        <v>6.2527760746888816E-13</v>
      </c>
      <c r="G84" s="203">
        <f t="shared" si="25"/>
        <v>0</v>
      </c>
      <c r="H84" s="203">
        <f t="shared" si="25"/>
        <v>2.1827872842550278E-11</v>
      </c>
      <c r="I84" s="203">
        <f t="shared" si="25"/>
        <v>2.2737367544323206E-13</v>
      </c>
      <c r="J84" s="203">
        <f t="shared" si="25"/>
        <v>-9.0949470177292824E-13</v>
      </c>
      <c r="K84" s="203">
        <f t="shared" si="25"/>
        <v>-7.2759576141834259E-12</v>
      </c>
      <c r="L84" s="203">
        <f t="shared" si="25"/>
        <v>-3.637978807091713E-12</v>
      </c>
      <c r="M84" s="203">
        <f t="shared" si="25"/>
        <v>-3.637978807091713E-11</v>
      </c>
      <c r="N84" s="203">
        <f t="shared" si="25"/>
        <v>-2.9103830456733704E-11</v>
      </c>
      <c r="O84" s="191"/>
      <c r="P84" s="191"/>
      <c r="Q84" s="267"/>
    </row>
    <row r="85" spans="2:17" s="257" customFormat="1" ht="10.35" customHeight="1" x14ac:dyDescent="0.15">
      <c r="B85" s="200" t="s">
        <v>3552</v>
      </c>
      <c r="C85" s="103"/>
      <c r="D85" s="103"/>
      <c r="E85" s="203"/>
      <c r="F85" s="203"/>
      <c r="G85" s="203"/>
      <c r="H85" s="203"/>
      <c r="I85" s="203"/>
      <c r="J85" s="203"/>
      <c r="K85" s="203"/>
      <c r="L85" s="203"/>
      <c r="M85" s="203"/>
      <c r="N85" s="203"/>
      <c r="O85" s="191"/>
      <c r="P85" s="191"/>
      <c r="Q85" s="267"/>
    </row>
    <row r="86" spans="2:17" s="257" customFormat="1" ht="10.35" customHeight="1" x14ac:dyDescent="0.15">
      <c r="B86" s="190"/>
      <c r="C86" s="103" t="s">
        <v>747</v>
      </c>
      <c r="D86" s="103"/>
      <c r="E86" s="203">
        <f t="shared" ref="E86:N86" si="26">IF(OR(E9="NA",E10="NA",E11="NA"),"NA",-SUM(E9)+SUM(E10)+SUM(E11))</f>
        <v>-3.637978807091713E-12</v>
      </c>
      <c r="F86" s="203">
        <f t="shared" si="26"/>
        <v>0</v>
      </c>
      <c r="G86" s="203">
        <f t="shared" si="26"/>
        <v>0</v>
      </c>
      <c r="H86" s="203">
        <f t="shared" si="26"/>
        <v>-1.8189894035458565E-12</v>
      </c>
      <c r="I86" s="203">
        <f t="shared" si="26"/>
        <v>0</v>
      </c>
      <c r="J86" s="203">
        <f t="shared" si="26"/>
        <v>-6.8212102632969618E-13</v>
      </c>
      <c r="K86" s="203">
        <f t="shared" si="26"/>
        <v>6.8212102632969618E-13</v>
      </c>
      <c r="L86" s="203">
        <f t="shared" si="26"/>
        <v>0</v>
      </c>
      <c r="M86" s="203">
        <f t="shared" si="26"/>
        <v>3.637978807091713E-12</v>
      </c>
      <c r="N86" s="203">
        <f t="shared" si="26"/>
        <v>0</v>
      </c>
      <c r="O86" s="191"/>
      <c r="P86" s="191"/>
      <c r="Q86" s="267"/>
    </row>
    <row r="87" spans="2:17" s="257" customFormat="1" ht="10.35" customHeight="1" x14ac:dyDescent="0.15">
      <c r="B87" s="190"/>
      <c r="C87" s="103" t="s">
        <v>748</v>
      </c>
      <c r="D87" s="103"/>
      <c r="E87" s="203">
        <f t="shared" ref="E87:N87" si="27">IF(OR(E16="NA",E17="NA",E18="NA",E19="NA"),"NA",-SUM(E16)+SUM(E17)+SUM(E18)+SUM(E19))</f>
        <v>1.4779288903810084E-12</v>
      </c>
      <c r="F87" s="203">
        <f t="shared" si="27"/>
        <v>-8.8817841970012523E-16</v>
      </c>
      <c r="G87" s="203">
        <f t="shared" si="27"/>
        <v>0</v>
      </c>
      <c r="H87" s="203">
        <f t="shared" si="27"/>
        <v>1.7053025658242404E-12</v>
      </c>
      <c r="I87" s="203">
        <f t="shared" si="27"/>
        <v>6.7762635780344027E-20</v>
      </c>
      <c r="J87" s="203">
        <f t="shared" si="27"/>
        <v>7.2386541205560206E-14</v>
      </c>
      <c r="K87" s="203">
        <f t="shared" si="27"/>
        <v>-5.6843418860808015E-14</v>
      </c>
      <c r="L87" s="203">
        <f t="shared" si="27"/>
        <v>0</v>
      </c>
      <c r="M87" s="203">
        <f t="shared" si="27"/>
        <v>-1.0231815394945443E-12</v>
      </c>
      <c r="N87" s="203">
        <f t="shared" si="27"/>
        <v>0</v>
      </c>
      <c r="O87" s="191"/>
      <c r="P87" s="191"/>
      <c r="Q87" s="267"/>
    </row>
    <row r="88" spans="2:17" s="257" customFormat="1" ht="10.35" customHeight="1" x14ac:dyDescent="0.15">
      <c r="B88" s="190"/>
      <c r="C88" s="103" t="s">
        <v>756</v>
      </c>
      <c r="D88" s="103"/>
      <c r="E88" s="203">
        <f t="shared" ref="E88:N88" si="28">IF(OR(E20="NA",E21="NA",E22="NA",E23="NA"),"NA",-SUM(E20)+SUM(E21)+SUM(E22)+SUM(E23))</f>
        <v>-1.1368683772161603E-13</v>
      </c>
      <c r="F88" s="203">
        <f t="shared" si="28"/>
        <v>0</v>
      </c>
      <c r="G88" s="203">
        <f t="shared" si="28"/>
        <v>0</v>
      </c>
      <c r="H88" s="203">
        <f t="shared" si="28"/>
        <v>-5.6843418860808015E-14</v>
      </c>
      <c r="I88" s="203">
        <f t="shared" si="28"/>
        <v>0</v>
      </c>
      <c r="J88" s="203">
        <f t="shared" si="28"/>
        <v>0</v>
      </c>
      <c r="K88" s="203">
        <f t="shared" si="28"/>
        <v>-2.8421709430404007E-14</v>
      </c>
      <c r="L88" s="203">
        <f t="shared" si="28"/>
        <v>0</v>
      </c>
      <c r="M88" s="203">
        <f t="shared" si="28"/>
        <v>-2.2737367544323206E-13</v>
      </c>
      <c r="N88" s="203">
        <f t="shared" si="28"/>
        <v>-5.6843418860808015E-14</v>
      </c>
      <c r="O88" s="191"/>
      <c r="P88" s="191"/>
      <c r="Q88" s="267"/>
    </row>
    <row r="89" spans="2:17" s="257" customFormat="1" ht="10.35" customHeight="1" x14ac:dyDescent="0.15">
      <c r="B89" s="190"/>
      <c r="C89" s="103" t="s">
        <v>749</v>
      </c>
      <c r="D89" s="103"/>
      <c r="E89" s="203">
        <f t="shared" ref="E89:N89" si="29">IF(OR(E24="NA",E25="NA",E28="NA",E31="NA"),"NA",-SUM(E24)+SUM(E25)+SUM(E28)+SUM(E31))</f>
        <v>0</v>
      </c>
      <c r="F89" s="203">
        <f t="shared" si="29"/>
        <v>0</v>
      </c>
      <c r="G89" s="203">
        <f t="shared" si="29"/>
        <v>0</v>
      </c>
      <c r="H89" s="203">
        <f t="shared" si="29"/>
        <v>0</v>
      </c>
      <c r="I89" s="203">
        <f t="shared" si="29"/>
        <v>0</v>
      </c>
      <c r="J89" s="203">
        <f t="shared" si="29"/>
        <v>0</v>
      </c>
      <c r="K89" s="203">
        <f t="shared" si="29"/>
        <v>0</v>
      </c>
      <c r="L89" s="203">
        <f t="shared" si="29"/>
        <v>0</v>
      </c>
      <c r="M89" s="203">
        <f t="shared" si="29"/>
        <v>0</v>
      </c>
      <c r="N89" s="203">
        <f t="shared" si="29"/>
        <v>0</v>
      </c>
      <c r="O89" s="191"/>
      <c r="P89" s="191"/>
      <c r="Q89" s="267"/>
    </row>
    <row r="90" spans="2:17" s="257" customFormat="1" ht="10.35" customHeight="1" x14ac:dyDescent="0.15">
      <c r="B90" s="190"/>
      <c r="C90" s="103" t="s">
        <v>750</v>
      </c>
      <c r="D90" s="103"/>
      <c r="E90" s="203">
        <f t="shared" ref="E90:N90" si="30">IF(OR(E34="NA",E35="NA",E36="NA",E37="NA"),"NA",-SUM(E34)+SUM(E35)+SUM(E36)+SUM(E37))</f>
        <v>-4.5474735088646412E-13</v>
      </c>
      <c r="F90" s="203">
        <f t="shared" si="30"/>
        <v>0</v>
      </c>
      <c r="G90" s="203">
        <f t="shared" si="30"/>
        <v>0</v>
      </c>
      <c r="H90" s="203">
        <f t="shared" si="30"/>
        <v>-6.8212102632969618E-13</v>
      </c>
      <c r="I90" s="203">
        <f t="shared" si="30"/>
        <v>0</v>
      </c>
      <c r="J90" s="203">
        <f t="shared" si="30"/>
        <v>9.2370555648813024E-14</v>
      </c>
      <c r="K90" s="203">
        <f t="shared" si="30"/>
        <v>-4.2632564145606011E-14</v>
      </c>
      <c r="L90" s="203">
        <f t="shared" si="30"/>
        <v>0</v>
      </c>
      <c r="M90" s="203">
        <f t="shared" si="30"/>
        <v>9.0949470177292824E-13</v>
      </c>
      <c r="N90" s="203">
        <f t="shared" si="30"/>
        <v>-1.1368683772161603E-12</v>
      </c>
      <c r="O90" s="191"/>
      <c r="P90" s="510"/>
      <c r="Q90" s="267"/>
    </row>
    <row r="91" spans="2:17" s="257" customFormat="1" ht="10.35" customHeight="1" x14ac:dyDescent="0.15">
      <c r="B91" s="190"/>
      <c r="C91" s="103" t="s">
        <v>757</v>
      </c>
      <c r="D91" s="103"/>
      <c r="E91" s="203">
        <f t="shared" ref="E91:N91" si="31">IF(OR(E38="NA",E39="NA",E45="NA",E48="NA"),"NA",-SUM(E38)+SUM(E39)+SUM(E45)+SUM(E48))</f>
        <v>-1.3073986337985843E-12</v>
      </c>
      <c r="F91" s="203">
        <f t="shared" si="31"/>
        <v>1.4210854715202004E-14</v>
      </c>
      <c r="G91" s="203">
        <f t="shared" si="31"/>
        <v>0</v>
      </c>
      <c r="H91" s="203">
        <f t="shared" si="31"/>
        <v>7.9580786405131221E-13</v>
      </c>
      <c r="I91" s="203">
        <f t="shared" si="31"/>
        <v>-7.9047879353311146E-14</v>
      </c>
      <c r="J91" s="203">
        <f t="shared" si="31"/>
        <v>-2.4158453015843406E-13</v>
      </c>
      <c r="K91" s="203">
        <f t="shared" si="31"/>
        <v>-4.2632564145606011E-13</v>
      </c>
      <c r="L91" s="203">
        <f t="shared" si="31"/>
        <v>0</v>
      </c>
      <c r="M91" s="203">
        <f t="shared" si="31"/>
        <v>-1.7053025658242404E-12</v>
      </c>
      <c r="N91" s="203">
        <f t="shared" si="31"/>
        <v>1.6484591469634324E-12</v>
      </c>
      <c r="O91" s="191"/>
      <c r="P91" s="191"/>
      <c r="Q91" s="267"/>
    </row>
    <row r="92" spans="2:17" s="257" customFormat="1" ht="10.35" customHeight="1" x14ac:dyDescent="0.15">
      <c r="B92" s="190"/>
      <c r="C92" s="103" t="s">
        <v>751</v>
      </c>
      <c r="D92" s="103"/>
      <c r="E92" s="203">
        <f t="shared" ref="E92:N92" si="32">IF(OR(E11="NA",E12="NA",E13="NA"),"NA",-SUM(E11)+SUM(E12)+SUM(E13))</f>
        <v>0</v>
      </c>
      <c r="F92" s="203">
        <f t="shared" si="32"/>
        <v>5.6843418860808015E-14</v>
      </c>
      <c r="G92" s="203">
        <f t="shared" si="32"/>
        <v>0</v>
      </c>
      <c r="H92" s="203">
        <f t="shared" si="32"/>
        <v>0</v>
      </c>
      <c r="I92" s="203">
        <f t="shared" si="32"/>
        <v>0</v>
      </c>
      <c r="J92" s="203">
        <f t="shared" si="32"/>
        <v>0</v>
      </c>
      <c r="K92" s="203">
        <f t="shared" si="32"/>
        <v>0</v>
      </c>
      <c r="L92" s="203">
        <f t="shared" si="32"/>
        <v>0</v>
      </c>
      <c r="M92" s="203">
        <f t="shared" si="32"/>
        <v>0</v>
      </c>
      <c r="N92" s="203">
        <f t="shared" si="32"/>
        <v>0</v>
      </c>
      <c r="O92" s="191"/>
      <c r="P92" s="191"/>
      <c r="Q92" s="267"/>
    </row>
    <row r="93" spans="2:17" s="257" customFormat="1" ht="10.35" customHeight="1" x14ac:dyDescent="0.15">
      <c r="B93" s="190"/>
      <c r="C93" s="103" t="s">
        <v>752</v>
      </c>
      <c r="D93" s="103"/>
      <c r="E93" s="203">
        <f t="shared" ref="E93:N93" si="33">IF(OR(E25="NA",E26="NA",E27="NA"),"NA",-SUM(E25)+SUM(E26)+SUM(E27))</f>
        <v>0</v>
      </c>
      <c r="F93" s="203">
        <f t="shared" si="33"/>
        <v>0</v>
      </c>
      <c r="G93" s="203">
        <f t="shared" si="33"/>
        <v>0</v>
      </c>
      <c r="H93" s="203">
        <f t="shared" si="33"/>
        <v>0</v>
      </c>
      <c r="I93" s="203">
        <f t="shared" si="33"/>
        <v>0</v>
      </c>
      <c r="J93" s="203">
        <f t="shared" si="33"/>
        <v>0</v>
      </c>
      <c r="K93" s="203">
        <f t="shared" si="33"/>
        <v>0</v>
      </c>
      <c r="L93" s="203">
        <f t="shared" si="33"/>
        <v>0</v>
      </c>
      <c r="M93" s="203">
        <f t="shared" si="33"/>
        <v>0</v>
      </c>
      <c r="N93" s="203">
        <f t="shared" si="33"/>
        <v>0</v>
      </c>
      <c r="O93" s="191"/>
      <c r="P93" s="191"/>
      <c r="Q93" s="267"/>
    </row>
    <row r="94" spans="2:17" s="257" customFormat="1" ht="10.35" customHeight="1" x14ac:dyDescent="0.15">
      <c r="B94" s="190"/>
      <c r="C94" s="103" t="s">
        <v>753</v>
      </c>
      <c r="D94" s="103"/>
      <c r="E94" s="203">
        <f t="shared" ref="E94:N94" si="34">IF(OR(E28="NA",E29="NA",E30="NA"),"NA",-SUM(E28)+SUM(E29)+SUM(E30))</f>
        <v>0</v>
      </c>
      <c r="F94" s="203">
        <f t="shared" si="34"/>
        <v>0</v>
      </c>
      <c r="G94" s="203">
        <f t="shared" si="34"/>
        <v>0</v>
      </c>
      <c r="H94" s="203">
        <f t="shared" si="34"/>
        <v>0</v>
      </c>
      <c r="I94" s="203">
        <f t="shared" si="34"/>
        <v>0</v>
      </c>
      <c r="J94" s="203">
        <f t="shared" si="34"/>
        <v>0</v>
      </c>
      <c r="K94" s="203">
        <f t="shared" si="34"/>
        <v>0</v>
      </c>
      <c r="L94" s="203">
        <f t="shared" si="34"/>
        <v>0</v>
      </c>
      <c r="M94" s="203">
        <f t="shared" si="34"/>
        <v>0</v>
      </c>
      <c r="N94" s="203">
        <f t="shared" si="34"/>
        <v>0</v>
      </c>
      <c r="O94" s="191"/>
      <c r="P94" s="191"/>
      <c r="Q94" s="267"/>
    </row>
    <row r="95" spans="2:17" s="257" customFormat="1" ht="10.35" customHeight="1" x14ac:dyDescent="0.15">
      <c r="B95" s="190"/>
      <c r="C95" s="103" t="s">
        <v>754</v>
      </c>
      <c r="D95" s="103"/>
      <c r="E95" s="203">
        <f t="shared" ref="E95:N95" si="35">IF(OR(E31="NA",E32="NA",E33="NA"),"NA",-SUM(E31)+SUM(E32)+SUM(E33))</f>
        <v>-6.5192296005989192E-12</v>
      </c>
      <c r="F95" s="203">
        <f t="shared" si="35"/>
        <v>0</v>
      </c>
      <c r="G95" s="203">
        <f t="shared" si="35"/>
        <v>-1.1368683772161603E-13</v>
      </c>
      <c r="H95" s="203">
        <f t="shared" si="35"/>
        <v>-9.3649532573181204E-12</v>
      </c>
      <c r="I95" s="203">
        <f t="shared" si="35"/>
        <v>0</v>
      </c>
      <c r="J95" s="203">
        <f t="shared" si="35"/>
        <v>9.9475983006414026E-14</v>
      </c>
      <c r="K95" s="203">
        <f t="shared" si="35"/>
        <v>-7.1054273576010019E-14</v>
      </c>
      <c r="L95" s="203">
        <f t="shared" si="35"/>
        <v>-2.0463630789890885E-12</v>
      </c>
      <c r="M95" s="203">
        <f t="shared" si="35"/>
        <v>1.3642420526593924E-12</v>
      </c>
      <c r="N95" s="203">
        <f t="shared" si="35"/>
        <v>5.1869619710487314E-12</v>
      </c>
      <c r="O95" s="191"/>
      <c r="P95" s="191"/>
      <c r="Q95" s="267"/>
    </row>
    <row r="96" spans="2:17" s="257" customFormat="1" ht="10.35" customHeight="1" x14ac:dyDescent="0.15">
      <c r="B96" s="190"/>
      <c r="C96" s="103" t="s">
        <v>758</v>
      </c>
      <c r="D96" s="103"/>
      <c r="E96" s="203">
        <f t="shared" ref="E96:N96" si="36">IF(OR(E39="NA",E40="NA",E41="NA",E42="NA",E43="NA",E44="NA"),"NA",-SUM(E39)+SUM(E40)+SUM(E41)+SUM(E42)+SUM(E43)+SUM(E44))</f>
        <v>0</v>
      </c>
      <c r="F96" s="203">
        <f t="shared" si="36"/>
        <v>0</v>
      </c>
      <c r="G96" s="203">
        <f t="shared" si="36"/>
        <v>0</v>
      </c>
      <c r="H96" s="203">
        <f t="shared" si="36"/>
        <v>0</v>
      </c>
      <c r="I96" s="203">
        <f t="shared" si="36"/>
        <v>0</v>
      </c>
      <c r="J96" s="203">
        <f t="shared" si="36"/>
        <v>0</v>
      </c>
      <c r="K96" s="203">
        <f t="shared" si="36"/>
        <v>0</v>
      </c>
      <c r="L96" s="203">
        <f t="shared" si="36"/>
        <v>0</v>
      </c>
      <c r="M96" s="203">
        <f t="shared" si="36"/>
        <v>0</v>
      </c>
      <c r="N96" s="203">
        <f t="shared" si="36"/>
        <v>0</v>
      </c>
      <c r="O96" s="191"/>
      <c r="P96" s="191"/>
      <c r="Q96" s="267"/>
    </row>
    <row r="97" spans="2:18" s="257" customFormat="1" ht="10.35" customHeight="1" x14ac:dyDescent="0.15">
      <c r="B97" s="190"/>
      <c r="C97" s="103" t="s">
        <v>755</v>
      </c>
      <c r="D97" s="103"/>
      <c r="E97" s="203">
        <f t="shared" ref="E97:N97" si="37">IF(OR(E45="NA",E46="NA",E47="NA"),"NA",-SUM(E45)+SUM(E46)+SUM(E47))</f>
        <v>-1.1368683772161603E-12</v>
      </c>
      <c r="F97" s="203">
        <f t="shared" si="37"/>
        <v>2.19824158875781E-14</v>
      </c>
      <c r="G97" s="203">
        <f t="shared" si="37"/>
        <v>0</v>
      </c>
      <c r="H97" s="203">
        <f t="shared" si="37"/>
        <v>-1.1368683772161603E-12</v>
      </c>
      <c r="I97" s="203">
        <f t="shared" si="37"/>
        <v>7.5495165674510645E-14</v>
      </c>
      <c r="J97" s="203">
        <f t="shared" si="37"/>
        <v>4.5474735088646412E-13</v>
      </c>
      <c r="K97" s="203">
        <f t="shared" si="37"/>
        <v>-9.0949470177292824E-13</v>
      </c>
      <c r="L97" s="203">
        <f t="shared" si="37"/>
        <v>0</v>
      </c>
      <c r="M97" s="203">
        <f t="shared" si="37"/>
        <v>3.637978807091713E-12</v>
      </c>
      <c r="N97" s="203">
        <f t="shared" si="37"/>
        <v>-1.3642420526593924E-12</v>
      </c>
      <c r="O97" s="191"/>
      <c r="P97" s="191"/>
      <c r="Q97" s="267"/>
    </row>
    <row r="98" spans="2:18" s="257" customFormat="1" ht="10.35" customHeight="1" x14ac:dyDescent="0.15">
      <c r="B98" s="190"/>
      <c r="C98" s="103" t="s">
        <v>759</v>
      </c>
      <c r="D98" s="103"/>
      <c r="E98" s="203">
        <f t="shared" ref="E98:N98" si="38">IF(OR(E48="NA",E49="NA",E53="NA"),"NA",-SUM(E48)+SUM(E49)+SUM(E53))</f>
        <v>0</v>
      </c>
      <c r="F98" s="203">
        <f t="shared" si="38"/>
        <v>0</v>
      </c>
      <c r="G98" s="203">
        <f t="shared" si="38"/>
        <v>0</v>
      </c>
      <c r="H98" s="203">
        <f t="shared" si="38"/>
        <v>0</v>
      </c>
      <c r="I98" s="203">
        <f t="shared" si="38"/>
        <v>0</v>
      </c>
      <c r="J98" s="203">
        <f t="shared" si="38"/>
        <v>0</v>
      </c>
      <c r="K98" s="203">
        <f t="shared" si="38"/>
        <v>0</v>
      </c>
      <c r="L98" s="203">
        <f t="shared" si="38"/>
        <v>0</v>
      </c>
      <c r="M98" s="203">
        <f t="shared" si="38"/>
        <v>0</v>
      </c>
      <c r="N98" s="203">
        <f t="shared" si="38"/>
        <v>0</v>
      </c>
      <c r="O98" s="191"/>
      <c r="P98" s="191"/>
      <c r="Q98" s="267"/>
    </row>
    <row r="99" spans="2:18" s="257" customFormat="1" ht="10.35" hidden="1" customHeight="1" x14ac:dyDescent="0.15">
      <c r="B99" s="204"/>
      <c r="C99" s="140" t="s">
        <v>760</v>
      </c>
      <c r="D99" s="140"/>
      <c r="E99" s="206" t="str">
        <f t="shared" ref="E99:N99" si="39">IF(OR(E49="NA",E50="NA",E51="NA",E52="NA"),"NA",-SUM(E49)+SUM(E50)+SUM(E51)+SUM(E52))</f>
        <v>NA</v>
      </c>
      <c r="F99" s="206" t="str">
        <f t="shared" si="39"/>
        <v>NA</v>
      </c>
      <c r="G99" s="206" t="str">
        <f t="shared" si="39"/>
        <v>NA</v>
      </c>
      <c r="H99" s="206" t="str">
        <f t="shared" si="39"/>
        <v>NA</v>
      </c>
      <c r="I99" s="206" t="str">
        <f t="shared" si="39"/>
        <v>NA</v>
      </c>
      <c r="J99" s="206" t="str">
        <f t="shared" si="39"/>
        <v>NA</v>
      </c>
      <c r="K99" s="206" t="str">
        <f t="shared" si="39"/>
        <v>NA</v>
      </c>
      <c r="L99" s="206" t="str">
        <f t="shared" si="39"/>
        <v>NA</v>
      </c>
      <c r="M99" s="206" t="str">
        <f t="shared" si="39"/>
        <v>NA</v>
      </c>
      <c r="N99" s="206" t="str">
        <f t="shared" si="39"/>
        <v>NA</v>
      </c>
      <c r="O99" s="191"/>
      <c r="P99" s="191"/>
      <c r="Q99" s="267"/>
      <c r="R99" s="282"/>
    </row>
    <row r="100" spans="2:18" s="103" customFormat="1" ht="10.9" customHeight="1" x14ac:dyDescent="0.15">
      <c r="B100" s="697" t="s">
        <v>2777</v>
      </c>
      <c r="E100" s="212"/>
      <c r="F100" s="212"/>
      <c r="G100" s="212"/>
      <c r="H100" s="212"/>
      <c r="I100" s="212"/>
      <c r="J100" s="212"/>
      <c r="K100" s="212"/>
      <c r="L100" s="212"/>
      <c r="M100" s="212"/>
      <c r="N100" s="212"/>
      <c r="O100" s="191"/>
      <c r="P100" s="191"/>
      <c r="Q100" s="191"/>
    </row>
    <row r="101" spans="2:18" s="103" customFormat="1" ht="10.9" customHeight="1" x14ac:dyDescent="0.15">
      <c r="B101" s="200"/>
      <c r="C101" s="698" t="s">
        <v>2959</v>
      </c>
      <c r="E101" s="212"/>
      <c r="F101" s="212"/>
      <c r="G101" s="212"/>
      <c r="H101" s="212"/>
      <c r="I101" s="212"/>
      <c r="J101" s="212"/>
      <c r="K101" s="212"/>
      <c r="L101" s="212"/>
      <c r="M101" s="212"/>
      <c r="N101" s="212"/>
      <c r="O101" s="191"/>
      <c r="P101" s="191"/>
      <c r="Q101" s="191"/>
    </row>
    <row r="102" spans="2:18" s="257" customFormat="1" ht="10.35" customHeight="1" x14ac:dyDescent="0.15">
      <c r="B102" s="190"/>
      <c r="C102" s="214" t="s">
        <v>3396</v>
      </c>
      <c r="D102" s="103"/>
      <c r="E102" s="215"/>
      <c r="F102" s="215"/>
      <c r="G102" s="215"/>
      <c r="H102" s="215"/>
      <c r="I102" s="215"/>
      <c r="J102" s="215"/>
      <c r="K102" s="215"/>
      <c r="L102" s="215"/>
      <c r="M102" s="203" t="str">
        <f>IF(OR(M20="NA"),"NA",IF(ROUND(SUM(M20),1)=0,"si","verificar!"))</f>
        <v>verificar!</v>
      </c>
      <c r="N102" s="215"/>
      <c r="O102" s="191"/>
      <c r="P102" s="191"/>
      <c r="Q102" s="267"/>
    </row>
    <row r="103" spans="2:18" s="257" customFormat="1" ht="10.35" customHeight="1" x14ac:dyDescent="0.15">
      <c r="B103" s="190"/>
      <c r="C103" s="214" t="s">
        <v>3393</v>
      </c>
      <c r="D103" s="103"/>
      <c r="E103" s="215"/>
      <c r="F103" s="215"/>
      <c r="G103" s="215"/>
      <c r="H103" s="215"/>
      <c r="I103" s="215"/>
      <c r="J103" s="215"/>
      <c r="K103" s="215"/>
      <c r="L103" s="215"/>
      <c r="M103" s="203" t="str">
        <f>IF(OR(M32="NA"),"NA",IF(ROUND(SUM(M32),1)=0,"si","verificar!"))</f>
        <v>verificar!</v>
      </c>
      <c r="N103" s="215"/>
      <c r="O103" s="191"/>
      <c r="P103" s="191"/>
      <c r="Q103" s="267"/>
    </row>
    <row r="104" spans="2:18" s="257" customFormat="1" ht="10.35" customHeight="1" x14ac:dyDescent="0.15">
      <c r="B104" s="190"/>
      <c r="C104" s="214" t="s">
        <v>3394</v>
      </c>
      <c r="D104" s="103"/>
      <c r="E104" s="215"/>
      <c r="F104" s="215"/>
      <c r="G104" s="215"/>
      <c r="H104" s="215"/>
      <c r="I104" s="215"/>
      <c r="J104" s="215"/>
      <c r="K104" s="215"/>
      <c r="L104" s="215"/>
      <c r="M104" s="203" t="str">
        <f>IF(OR(M33="NA"),"NA",IF(ROUND(SUM(M33),1)=0,"si","verificar!"))</f>
        <v>verificar!</v>
      </c>
      <c r="N104" s="215"/>
      <c r="O104" s="191"/>
      <c r="P104" s="191"/>
      <c r="Q104" s="267"/>
    </row>
    <row r="105" spans="2:18" s="257" customFormat="1" ht="10.35" customHeight="1" x14ac:dyDescent="0.15">
      <c r="B105" s="190"/>
      <c r="C105" s="214" t="s">
        <v>3395</v>
      </c>
      <c r="D105" s="103"/>
      <c r="E105" s="215"/>
      <c r="F105" s="215"/>
      <c r="G105" s="215"/>
      <c r="H105" s="215"/>
      <c r="I105" s="215"/>
      <c r="J105" s="215"/>
      <c r="K105" s="215"/>
      <c r="L105" s="215"/>
      <c r="M105" s="203" t="str">
        <f>IF(OR(M34="NA"),"NA",IF(ROUND(SUM(M34),1)=0,"si","verificar!"))</f>
        <v>verificar!</v>
      </c>
      <c r="N105" s="215"/>
      <c r="O105" s="191"/>
      <c r="P105" s="191"/>
      <c r="Q105" s="267"/>
    </row>
    <row r="106" spans="2:18" s="103" customFormat="1" ht="10.9" customHeight="1" x14ac:dyDescent="0.15">
      <c r="B106" s="200"/>
      <c r="C106" s="698" t="s">
        <v>2840</v>
      </c>
      <c r="E106" s="212"/>
      <c r="F106" s="212"/>
      <c r="G106" s="212"/>
      <c r="H106" s="212"/>
      <c r="I106" s="212"/>
      <c r="J106" s="212"/>
      <c r="K106" s="212"/>
      <c r="L106" s="212"/>
      <c r="M106" s="212"/>
      <c r="N106" s="212"/>
      <c r="O106" s="191"/>
      <c r="P106" s="191"/>
      <c r="Q106" s="191"/>
    </row>
    <row r="107" spans="2:18" s="103" customFormat="1" ht="10.9" customHeight="1" x14ac:dyDescent="0.15">
      <c r="B107" s="190"/>
      <c r="C107" s="214" t="s">
        <v>3397</v>
      </c>
      <c r="E107" s="215"/>
      <c r="F107" s="215"/>
      <c r="G107" s="203" t="str">
        <f t="array" ref="G107">IF(OR(G9:G13="NA"),"NA",IF(AND(ROUND(G9:G13,1)=0),"si","Vérificar!"))</f>
        <v>Vérificar!</v>
      </c>
      <c r="H107" s="215"/>
      <c r="I107" s="215"/>
      <c r="J107" s="215"/>
      <c r="K107" s="215"/>
      <c r="L107" s="203" t="str">
        <f t="array" ref="L107">IF(OR(L9:L13="NA"),"NA",IF(AND(ROUND(L9:L13,1)=0),"si","Vérifier!"))</f>
        <v>Vérifier!</v>
      </c>
      <c r="M107" s="215"/>
      <c r="N107" s="215"/>
      <c r="O107" s="191"/>
      <c r="P107" s="191"/>
      <c r="Q107" s="191"/>
    </row>
    <row r="108" spans="2:18" s="103" customFormat="1" ht="10.9" customHeight="1" x14ac:dyDescent="0.15">
      <c r="B108" s="190"/>
      <c r="C108" s="214" t="s">
        <v>3398</v>
      </c>
      <c r="E108" s="215"/>
      <c r="F108" s="215"/>
      <c r="G108" s="203" t="str">
        <f t="array" ref="G108">IF(OR(G18:G19="NA"),"NA",IF(AND(ROUND(G18:G19,1)=0),"si","verificar!"))</f>
        <v>si</v>
      </c>
      <c r="H108" s="741"/>
      <c r="I108" s="741"/>
      <c r="J108" s="741"/>
      <c r="K108" s="741"/>
      <c r="L108" s="203" t="str">
        <f t="array" ref="L108">IF(OR(L18:L19="NA"),"NA",IF(AND(ROUND(L18:L19,1)=0),"si","verificar!"))</f>
        <v>verificar!</v>
      </c>
      <c r="M108" s="215"/>
      <c r="N108" s="215"/>
      <c r="O108" s="191"/>
      <c r="P108" s="191"/>
      <c r="Q108" s="191"/>
    </row>
    <row r="109" spans="2:18" s="103" customFormat="1" ht="10.9" customHeight="1" x14ac:dyDescent="0.15">
      <c r="B109" s="190"/>
      <c r="C109" s="214" t="s">
        <v>3399</v>
      </c>
      <c r="E109" s="215"/>
      <c r="F109" s="215"/>
      <c r="G109" s="203" t="str">
        <f t="array" ref="G109">IF(OR(G22:G23="NA"),"NA",IF(AND(ROUND(G22:G23,1)=0),"si","verificar!"))</f>
        <v>si</v>
      </c>
      <c r="H109" s="741"/>
      <c r="I109" s="741"/>
      <c r="J109" s="741"/>
      <c r="K109" s="741"/>
      <c r="L109" s="203" t="str">
        <f t="array" ref="L109">IF(OR(L22:L23="NA"),"NA",IF(AND(ROUND(L22:L23,1)=0),"si","verificar!"))</f>
        <v>si</v>
      </c>
      <c r="M109" s="215"/>
      <c r="N109" s="215"/>
      <c r="O109" s="191"/>
      <c r="P109" s="191"/>
      <c r="Q109" s="191"/>
    </row>
    <row r="110" spans="2:18" s="103" customFormat="1" ht="10.9" customHeight="1" x14ac:dyDescent="0.15">
      <c r="B110" s="190"/>
      <c r="C110" s="214" t="s">
        <v>3400</v>
      </c>
      <c r="E110" s="215"/>
      <c r="F110" s="215"/>
      <c r="G110" s="203" t="str">
        <f t="array" ref="G110">IF(OR(G25:G30="NA"),"NA",IF(AND(ROUND(G25:G30,1)=0),"si","Vérificar!"))</f>
        <v>si</v>
      </c>
      <c r="H110" s="215"/>
      <c r="I110" s="215"/>
      <c r="J110" s="215"/>
      <c r="K110" s="215"/>
      <c r="L110" s="203" t="str">
        <f t="array" ref="L110">IF(OR(L25:L30="NA"),"NA",IF(AND(ROUND(L25:L30,1)=0),"si","Vérificar!"))</f>
        <v>si</v>
      </c>
      <c r="M110" s="215"/>
      <c r="N110" s="215"/>
      <c r="O110" s="191"/>
      <c r="P110" s="191"/>
      <c r="Q110" s="191"/>
    </row>
    <row r="111" spans="2:18" s="103" customFormat="1" ht="10.9" customHeight="1" x14ac:dyDescent="0.15">
      <c r="B111" s="190"/>
      <c r="C111" s="214" t="s">
        <v>3401</v>
      </c>
      <c r="E111" s="215"/>
      <c r="F111" s="215"/>
      <c r="G111" s="203" t="str">
        <f t="array" ref="G111">IF(OR(G34:G37="NA"),"NA",IF(AND(ROUND(G34:G37,1)=0),"si","Vérificar!"))</f>
        <v>si</v>
      </c>
      <c r="H111" s="215"/>
      <c r="I111" s="215"/>
      <c r="J111" s="215"/>
      <c r="K111" s="215"/>
      <c r="L111" s="203" t="str">
        <f t="array" ref="L111">IF(OR(L34:L37="NA"),"NA",IF(AND(ROUND(L34:L37,1)=0),"si","Vérificar!"))</f>
        <v>si</v>
      </c>
      <c r="M111" s="215"/>
      <c r="N111" s="215"/>
      <c r="O111" s="191"/>
      <c r="P111" s="191"/>
      <c r="Q111" s="191"/>
    </row>
    <row r="112" spans="2:18" s="103" customFormat="1" ht="10.9" customHeight="1" x14ac:dyDescent="0.15">
      <c r="B112" s="190"/>
      <c r="C112" s="214" t="s">
        <v>3402</v>
      </c>
      <c r="E112" s="215"/>
      <c r="F112" s="215"/>
      <c r="G112" s="203" t="str">
        <f t="array" ref="G112">IF(OR(G41:G43="NA"),"NA",IF(AND(ROUND(G41:G43,1)=0),"si","verificar!"))</f>
        <v>si</v>
      </c>
      <c r="H112" s="741"/>
      <c r="I112" s="741"/>
      <c r="J112" s="741"/>
      <c r="K112" s="741"/>
      <c r="L112" s="203" t="str">
        <f t="array" ref="L112">IF(OR(L41:L43="NA"),"NA",IF(AND(ROUND(L41:L43,1)=0),"si","verificar!"))</f>
        <v>si</v>
      </c>
      <c r="M112" s="215"/>
      <c r="N112" s="215"/>
      <c r="O112" s="191"/>
      <c r="P112" s="191"/>
      <c r="Q112" s="191"/>
    </row>
    <row r="113" spans="2:17" s="103" customFormat="1" ht="10.9" customHeight="1" x14ac:dyDescent="0.15">
      <c r="B113" s="190"/>
      <c r="C113" s="214" t="s">
        <v>3403</v>
      </c>
      <c r="E113" s="215"/>
      <c r="F113" s="215"/>
      <c r="G113" s="203" t="str">
        <f>IF(OR(G45="NA"),"NA",IF(ROUND(G45,1)=0,"si","verificar!"))</f>
        <v>verificar!</v>
      </c>
      <c r="H113" s="741"/>
      <c r="I113" s="741"/>
      <c r="J113" s="741"/>
      <c r="K113" s="741"/>
      <c r="L113" s="203" t="str">
        <f>IF(OR(L45="NA"),"NA",IF(ROUND(L45,1)=0,"si","verificar!"))</f>
        <v>verificar!</v>
      </c>
      <c r="M113" s="215"/>
      <c r="N113" s="215"/>
      <c r="O113" s="191"/>
      <c r="P113" s="191"/>
      <c r="Q113" s="191"/>
    </row>
    <row r="114" spans="2:17" s="103" customFormat="1" ht="10.9" customHeight="1" x14ac:dyDescent="0.15">
      <c r="B114" s="190"/>
      <c r="C114" s="214" t="s">
        <v>3404</v>
      </c>
      <c r="E114" s="215"/>
      <c r="F114" s="215"/>
      <c r="G114" s="511" t="str">
        <f t="array" ref="G114">IF(OR(G45:G47="NA"),"NA",IF(AND(ROUND(G45:G47,1)=0),"si","Vérificar!"))</f>
        <v>Vérificar!</v>
      </c>
      <c r="H114" s="215"/>
      <c r="I114" s="215"/>
      <c r="J114" s="215"/>
      <c r="K114" s="215"/>
      <c r="L114" s="511" t="str">
        <f t="array" ref="L114">IF(OR(L45:L47="NA"),"NA",IF(AND(ROUND(L45:L47,1)=0),"si","Vérificar!"))</f>
        <v>Vérificar!</v>
      </c>
      <c r="M114" s="215"/>
      <c r="N114" s="215"/>
      <c r="O114" s="191"/>
      <c r="P114" s="191"/>
      <c r="Q114" s="191"/>
    </row>
    <row r="115" spans="2:17" s="257" customFormat="1" ht="10.35" customHeight="1" x14ac:dyDescent="0.15">
      <c r="B115" s="217"/>
      <c r="C115" s="77"/>
      <c r="D115" s="77"/>
      <c r="E115" s="236"/>
      <c r="F115" s="236"/>
      <c r="G115" s="236"/>
      <c r="H115" s="236"/>
      <c r="I115" s="236"/>
      <c r="J115" s="236"/>
      <c r="K115" s="236"/>
      <c r="L115" s="236"/>
      <c r="M115" s="236"/>
      <c r="N115" s="236"/>
      <c r="O115" s="191"/>
      <c r="P115" s="191"/>
      <c r="Q115" s="267"/>
    </row>
    <row r="116" spans="2:17" s="257" customFormat="1" ht="10.35" customHeight="1" x14ac:dyDescent="0.15">
      <c r="B116" s="190"/>
      <c r="C116" s="103"/>
      <c r="D116" s="103"/>
      <c r="E116" s="103"/>
      <c r="F116" s="103"/>
      <c r="G116" s="103"/>
      <c r="H116" s="103"/>
      <c r="I116" s="103"/>
      <c r="J116" s="103"/>
      <c r="K116" s="103"/>
      <c r="L116" s="103"/>
      <c r="M116" s="103"/>
      <c r="N116" s="103"/>
      <c r="O116" s="103"/>
      <c r="P116" s="103"/>
    </row>
    <row r="117" spans="2:17" s="257" customFormat="1" ht="10.35" customHeight="1" x14ac:dyDescent="0.15">
      <c r="B117" s="190"/>
      <c r="C117" s="103"/>
      <c r="D117" s="103"/>
      <c r="E117" s="103"/>
      <c r="F117" s="103"/>
      <c r="G117" s="103"/>
      <c r="H117" s="103"/>
      <c r="I117" s="103"/>
      <c r="J117" s="103"/>
      <c r="K117" s="103"/>
      <c r="L117" s="103"/>
      <c r="M117" s="103"/>
      <c r="N117" s="103"/>
      <c r="O117" s="103"/>
      <c r="P117" s="103"/>
    </row>
    <row r="118" spans="2:17" s="257" customFormat="1" ht="10.35" customHeight="1" x14ac:dyDescent="0.15">
      <c r="B118" s="190"/>
      <c r="C118" s="103"/>
      <c r="D118" s="103"/>
      <c r="E118" s="103"/>
      <c r="F118" s="103"/>
      <c r="G118" s="103"/>
      <c r="H118" s="103"/>
      <c r="I118" s="103"/>
      <c r="J118" s="103"/>
      <c r="K118" s="103"/>
      <c r="L118" s="103"/>
      <c r="M118" s="103"/>
      <c r="N118" s="103"/>
      <c r="O118" s="103"/>
      <c r="P118" s="103"/>
    </row>
    <row r="119" spans="2:17" s="257" customFormat="1" ht="10.35" customHeight="1" x14ac:dyDescent="0.15">
      <c r="B119" s="190"/>
      <c r="C119" s="103"/>
      <c r="D119" s="103"/>
      <c r="E119" s="103"/>
      <c r="F119" s="103"/>
      <c r="G119" s="103"/>
      <c r="H119" s="103"/>
      <c r="I119" s="103"/>
      <c r="J119" s="103"/>
      <c r="K119" s="103"/>
      <c r="L119" s="103"/>
      <c r="M119" s="103"/>
      <c r="N119" s="103"/>
      <c r="O119" s="103"/>
      <c r="P119" s="103"/>
    </row>
    <row r="120" spans="2:17" s="257" customFormat="1" ht="10.35" customHeight="1" x14ac:dyDescent="0.15">
      <c r="B120" s="190"/>
      <c r="C120" s="103"/>
      <c r="D120" s="103"/>
      <c r="E120" s="103"/>
      <c r="F120" s="103"/>
      <c r="G120" s="103"/>
      <c r="H120" s="103"/>
      <c r="I120" s="103"/>
      <c r="J120" s="103"/>
      <c r="K120" s="103"/>
      <c r="L120" s="103"/>
      <c r="M120" s="103"/>
      <c r="N120" s="103"/>
      <c r="O120" s="103"/>
      <c r="P120" s="103"/>
    </row>
    <row r="121" spans="2:17" s="257" customFormat="1" ht="10.35" customHeight="1" x14ac:dyDescent="0.15">
      <c r="B121" s="190"/>
      <c r="C121" s="103"/>
      <c r="D121" s="103"/>
      <c r="E121" s="103"/>
      <c r="F121" s="103"/>
      <c r="G121" s="103"/>
      <c r="H121" s="103"/>
      <c r="I121" s="103"/>
      <c r="J121" s="103"/>
      <c r="K121" s="103"/>
      <c r="L121" s="103"/>
      <c r="M121" s="103"/>
      <c r="N121" s="103"/>
      <c r="O121" s="103"/>
      <c r="P121" s="103"/>
    </row>
    <row r="122" spans="2:17" s="257" customFormat="1" ht="10.35" customHeight="1" x14ac:dyDescent="0.15">
      <c r="B122" s="190"/>
      <c r="C122" s="103"/>
      <c r="D122" s="103"/>
      <c r="E122" s="103"/>
      <c r="F122" s="103"/>
      <c r="G122" s="103"/>
      <c r="H122" s="103"/>
      <c r="I122" s="103"/>
      <c r="J122" s="103"/>
      <c r="K122" s="103"/>
      <c r="L122" s="103"/>
      <c r="M122" s="103"/>
      <c r="N122" s="103"/>
      <c r="O122" s="103"/>
      <c r="P122" s="103"/>
    </row>
    <row r="123" spans="2:17" s="257" customFormat="1" ht="10.35" customHeight="1" x14ac:dyDescent="0.15">
      <c r="B123" s="190"/>
      <c r="C123" s="103"/>
      <c r="D123" s="103"/>
      <c r="E123" s="103"/>
      <c r="F123" s="103"/>
      <c r="G123" s="103"/>
      <c r="H123" s="103"/>
      <c r="I123" s="103"/>
      <c r="J123" s="103"/>
      <c r="K123" s="103"/>
      <c r="L123" s="103"/>
      <c r="M123" s="103"/>
      <c r="N123" s="103"/>
      <c r="O123" s="103"/>
      <c r="P123" s="103"/>
    </row>
    <row r="124" spans="2:17" s="257" customFormat="1" ht="10.35" customHeight="1" x14ac:dyDescent="0.15">
      <c r="B124" s="190"/>
      <c r="C124" s="103"/>
      <c r="D124" s="103"/>
      <c r="E124" s="103"/>
      <c r="F124" s="103"/>
      <c r="G124" s="103"/>
      <c r="H124" s="103"/>
      <c r="I124" s="103"/>
      <c r="J124" s="103"/>
      <c r="K124" s="103"/>
      <c r="L124" s="103"/>
      <c r="M124" s="103"/>
      <c r="N124" s="103"/>
      <c r="O124" s="103"/>
      <c r="P124" s="103"/>
    </row>
    <row r="125" spans="2:17" s="257" customFormat="1" ht="10.35" customHeight="1" x14ac:dyDescent="0.15">
      <c r="B125" s="190"/>
      <c r="C125" s="103"/>
      <c r="D125" s="103"/>
      <c r="E125" s="103"/>
      <c r="F125" s="103"/>
      <c r="G125" s="103"/>
      <c r="H125" s="103"/>
      <c r="I125" s="103"/>
      <c r="J125" s="103"/>
      <c r="K125" s="103"/>
      <c r="L125" s="103"/>
      <c r="M125" s="103"/>
      <c r="N125" s="103"/>
      <c r="O125" s="103"/>
      <c r="P125" s="103"/>
    </row>
    <row r="126" spans="2:17" s="257" customFormat="1" ht="10.35" customHeight="1" x14ac:dyDescent="0.15">
      <c r="B126" s="190"/>
      <c r="C126" s="103"/>
      <c r="D126" s="103"/>
      <c r="E126" s="103"/>
      <c r="F126" s="103"/>
      <c r="G126" s="103"/>
      <c r="H126" s="103"/>
      <c r="I126" s="103"/>
      <c r="J126" s="103"/>
      <c r="K126" s="103"/>
      <c r="L126" s="103"/>
      <c r="M126" s="103"/>
      <c r="N126" s="103"/>
      <c r="O126" s="103"/>
      <c r="P126" s="103"/>
    </row>
    <row r="127" spans="2:17" s="257" customFormat="1" ht="10.35" customHeight="1" x14ac:dyDescent="0.15">
      <c r="B127" s="190"/>
      <c r="C127" s="103"/>
      <c r="D127" s="103"/>
      <c r="E127" s="103"/>
      <c r="F127" s="103"/>
      <c r="G127" s="103"/>
      <c r="H127" s="103"/>
      <c r="I127" s="103"/>
      <c r="J127" s="103"/>
      <c r="K127" s="103"/>
      <c r="L127" s="103"/>
      <c r="M127" s="103"/>
      <c r="N127" s="103"/>
      <c r="O127" s="103"/>
      <c r="P127" s="103"/>
    </row>
    <row r="128" spans="2:17" s="257" customFormat="1" ht="10.35" customHeight="1" x14ac:dyDescent="0.15">
      <c r="B128" s="190"/>
      <c r="C128" s="103"/>
      <c r="D128" s="103"/>
      <c r="E128" s="103"/>
      <c r="F128" s="103"/>
      <c r="G128" s="103"/>
      <c r="H128" s="103"/>
      <c r="I128" s="103"/>
      <c r="J128" s="103"/>
      <c r="K128" s="103"/>
      <c r="L128" s="103"/>
      <c r="M128" s="103"/>
      <c r="N128" s="103"/>
      <c r="O128" s="103"/>
      <c r="P128" s="103"/>
    </row>
    <row r="129" spans="2:16" s="257" customFormat="1" ht="10.35" customHeight="1" x14ac:dyDescent="0.15">
      <c r="B129" s="190"/>
      <c r="C129" s="103"/>
      <c r="D129" s="103"/>
      <c r="E129" s="103"/>
      <c r="F129" s="103"/>
      <c r="G129" s="103"/>
      <c r="H129" s="103"/>
      <c r="I129" s="103"/>
      <c r="J129" s="103"/>
      <c r="K129" s="103"/>
      <c r="L129" s="103"/>
      <c r="M129" s="103"/>
      <c r="N129" s="103"/>
      <c r="O129" s="103"/>
      <c r="P129" s="103"/>
    </row>
    <row r="130" spans="2:16" s="257" customFormat="1" ht="10.35" customHeight="1" x14ac:dyDescent="0.15">
      <c r="B130" s="190"/>
      <c r="C130" s="103"/>
      <c r="D130" s="103"/>
      <c r="E130" s="103"/>
      <c r="F130" s="103"/>
      <c r="G130" s="103"/>
      <c r="H130" s="103"/>
      <c r="I130" s="103"/>
      <c r="J130" s="103"/>
      <c r="K130" s="103"/>
      <c r="L130" s="103"/>
      <c r="M130" s="103"/>
      <c r="N130" s="103"/>
      <c r="O130" s="103"/>
      <c r="P130" s="103"/>
    </row>
    <row r="131" spans="2:16" s="257" customFormat="1" ht="10.35" customHeight="1" x14ac:dyDescent="0.15">
      <c r="B131" s="190"/>
      <c r="C131" s="103"/>
      <c r="D131" s="103"/>
      <c r="E131" s="103"/>
      <c r="F131" s="103"/>
      <c r="G131" s="103"/>
      <c r="H131" s="103"/>
      <c r="I131" s="103"/>
      <c r="J131" s="103"/>
      <c r="K131" s="103"/>
      <c r="L131" s="103"/>
      <c r="M131" s="103"/>
      <c r="N131" s="103"/>
      <c r="O131" s="103"/>
      <c r="P131" s="103"/>
    </row>
    <row r="132" spans="2:16" s="257" customFormat="1" ht="10.35" customHeight="1" x14ac:dyDescent="0.15">
      <c r="B132" s="190"/>
      <c r="C132" s="103"/>
      <c r="D132" s="103"/>
      <c r="E132" s="103"/>
      <c r="F132" s="103"/>
      <c r="G132" s="103"/>
      <c r="H132" s="103"/>
      <c r="I132" s="103"/>
      <c r="J132" s="103"/>
      <c r="K132" s="103"/>
      <c r="L132" s="103"/>
      <c r="M132" s="103"/>
      <c r="N132" s="103"/>
      <c r="O132" s="103"/>
      <c r="P132" s="103"/>
    </row>
    <row r="133" spans="2:16" s="257" customFormat="1" ht="10.35" customHeight="1" x14ac:dyDescent="0.15">
      <c r="B133" s="190"/>
      <c r="C133" s="103"/>
      <c r="D133" s="103"/>
      <c r="E133" s="103"/>
      <c r="F133" s="103"/>
      <c r="G133" s="103"/>
      <c r="H133" s="103"/>
      <c r="I133" s="103"/>
      <c r="J133" s="103"/>
      <c r="K133" s="103"/>
      <c r="L133" s="103"/>
      <c r="M133" s="103"/>
      <c r="N133" s="103"/>
      <c r="O133" s="103"/>
      <c r="P133" s="103"/>
    </row>
    <row r="134" spans="2:16" s="257" customFormat="1" ht="10.35" customHeight="1" x14ac:dyDescent="0.15">
      <c r="B134" s="190"/>
      <c r="C134" s="103"/>
      <c r="D134" s="103"/>
      <c r="E134" s="103"/>
      <c r="F134" s="103"/>
      <c r="G134" s="103"/>
      <c r="H134" s="103"/>
      <c r="I134" s="103"/>
      <c r="J134" s="103"/>
      <c r="K134" s="103"/>
      <c r="L134" s="103"/>
      <c r="M134" s="103"/>
      <c r="N134" s="103"/>
      <c r="O134" s="103"/>
      <c r="P134" s="103"/>
    </row>
    <row r="135" spans="2:16" s="257" customFormat="1" ht="10.35" customHeight="1" x14ac:dyDescent="0.15">
      <c r="B135" s="190"/>
      <c r="C135" s="103"/>
      <c r="D135" s="103"/>
      <c r="E135" s="103"/>
      <c r="F135" s="103"/>
      <c r="G135" s="103"/>
      <c r="H135" s="103"/>
      <c r="I135" s="103"/>
      <c r="J135" s="103"/>
      <c r="K135" s="103"/>
      <c r="L135" s="103"/>
      <c r="M135" s="103"/>
      <c r="N135" s="103"/>
      <c r="O135" s="103"/>
      <c r="P135" s="103"/>
    </row>
    <row r="136" spans="2:16" s="257" customFormat="1" ht="10.35" customHeight="1" x14ac:dyDescent="0.15">
      <c r="B136" s="190"/>
      <c r="C136" s="103"/>
      <c r="D136" s="103"/>
      <c r="E136" s="103"/>
      <c r="F136" s="103"/>
      <c r="G136" s="103"/>
      <c r="H136" s="103"/>
      <c r="I136" s="103"/>
      <c r="J136" s="103"/>
      <c r="K136" s="103"/>
      <c r="L136" s="103"/>
      <c r="M136" s="103"/>
      <c r="N136" s="103"/>
      <c r="O136" s="103"/>
      <c r="P136" s="103"/>
    </row>
    <row r="137" spans="2:16" s="257" customFormat="1" ht="10.35" customHeight="1" x14ac:dyDescent="0.15">
      <c r="B137" s="190"/>
      <c r="C137" s="103"/>
      <c r="D137" s="103"/>
      <c r="E137" s="103"/>
      <c r="F137" s="103"/>
      <c r="G137" s="103"/>
      <c r="H137" s="103"/>
      <c r="I137" s="103"/>
      <c r="J137" s="103"/>
      <c r="K137" s="103"/>
      <c r="L137" s="103"/>
      <c r="M137" s="103"/>
      <c r="N137" s="103"/>
      <c r="O137" s="103"/>
      <c r="P137" s="103"/>
    </row>
    <row r="138" spans="2:16" s="257" customFormat="1" ht="10.35" customHeight="1" x14ac:dyDescent="0.15">
      <c r="B138" s="190"/>
      <c r="C138" s="103"/>
      <c r="D138" s="103"/>
      <c r="E138" s="103"/>
      <c r="F138" s="103"/>
      <c r="G138" s="103"/>
      <c r="H138" s="103"/>
      <c r="I138" s="103"/>
      <c r="J138" s="103"/>
      <c r="K138" s="103"/>
      <c r="L138" s="103"/>
      <c r="M138" s="103"/>
      <c r="N138" s="103"/>
      <c r="O138" s="103"/>
      <c r="P138" s="103"/>
    </row>
    <row r="139" spans="2:16" s="257" customFormat="1" ht="10.35" customHeight="1" x14ac:dyDescent="0.15">
      <c r="B139" s="190"/>
      <c r="C139" s="103"/>
      <c r="D139" s="103"/>
      <c r="E139" s="103"/>
      <c r="F139" s="103"/>
      <c r="G139" s="103"/>
      <c r="H139" s="103"/>
      <c r="I139" s="103"/>
      <c r="J139" s="103"/>
      <c r="K139" s="103"/>
      <c r="L139" s="103"/>
      <c r="M139" s="103"/>
      <c r="N139" s="103"/>
      <c r="O139" s="103"/>
      <c r="P139" s="103"/>
    </row>
    <row r="140" spans="2:16" s="257" customFormat="1" ht="10.35" customHeight="1" x14ac:dyDescent="0.15">
      <c r="B140" s="190"/>
      <c r="C140" s="103"/>
      <c r="D140" s="103"/>
      <c r="E140" s="103"/>
      <c r="F140" s="103"/>
      <c r="G140" s="103"/>
      <c r="H140" s="103"/>
      <c r="I140" s="103"/>
      <c r="J140" s="103"/>
      <c r="K140" s="103"/>
      <c r="L140" s="103"/>
      <c r="M140" s="103"/>
      <c r="N140" s="103"/>
      <c r="O140" s="103"/>
      <c r="P140" s="103"/>
    </row>
    <row r="141" spans="2:16" s="257" customFormat="1" ht="10.35" customHeight="1" x14ac:dyDescent="0.15">
      <c r="B141" s="190"/>
      <c r="C141" s="103"/>
      <c r="D141" s="103"/>
      <c r="E141" s="103"/>
      <c r="F141" s="103"/>
      <c r="G141" s="103"/>
      <c r="H141" s="103"/>
      <c r="I141" s="103"/>
      <c r="J141" s="103"/>
      <c r="K141" s="103"/>
      <c r="L141" s="103"/>
      <c r="M141" s="103"/>
      <c r="N141" s="103"/>
      <c r="O141" s="103"/>
      <c r="P141" s="103"/>
    </row>
    <row r="142" spans="2:16" s="257" customFormat="1" ht="10.35" customHeight="1" x14ac:dyDescent="0.15">
      <c r="B142" s="190"/>
      <c r="C142" s="103"/>
      <c r="D142" s="103"/>
      <c r="E142" s="103"/>
      <c r="F142" s="103"/>
      <c r="G142" s="103"/>
      <c r="H142" s="103"/>
      <c r="I142" s="103"/>
      <c r="J142" s="103"/>
      <c r="K142" s="103"/>
      <c r="L142" s="103"/>
      <c r="M142" s="103"/>
      <c r="N142" s="103"/>
      <c r="O142" s="103"/>
      <c r="P142" s="103"/>
    </row>
    <row r="143" spans="2:16" s="257" customFormat="1" ht="10.35" customHeight="1" x14ac:dyDescent="0.15">
      <c r="B143" s="190"/>
      <c r="C143" s="103"/>
      <c r="D143" s="103"/>
      <c r="E143" s="103"/>
      <c r="F143" s="103"/>
      <c r="G143" s="103"/>
      <c r="H143" s="103"/>
      <c r="I143" s="103"/>
      <c r="J143" s="103"/>
      <c r="K143" s="103"/>
      <c r="L143" s="103"/>
      <c r="M143" s="103"/>
      <c r="N143" s="103"/>
      <c r="O143" s="103"/>
      <c r="P143" s="103"/>
    </row>
    <row r="144" spans="2:16" s="257" customFormat="1" ht="10.35" customHeight="1" x14ac:dyDescent="0.15">
      <c r="B144" s="190"/>
      <c r="C144" s="103"/>
      <c r="D144" s="103"/>
      <c r="E144" s="103"/>
      <c r="F144" s="103"/>
      <c r="G144" s="103"/>
      <c r="H144" s="103"/>
      <c r="I144" s="103"/>
      <c r="J144" s="103"/>
      <c r="K144" s="103"/>
      <c r="L144" s="103"/>
      <c r="M144" s="103"/>
      <c r="N144" s="103"/>
      <c r="O144" s="103"/>
      <c r="P144" s="103"/>
    </row>
    <row r="145" spans="2:16" s="257" customFormat="1" ht="10.35" customHeight="1" x14ac:dyDescent="0.15">
      <c r="B145" s="190"/>
      <c r="C145" s="103"/>
      <c r="D145" s="103"/>
      <c r="E145" s="103"/>
      <c r="F145" s="103"/>
      <c r="G145" s="103"/>
      <c r="H145" s="103"/>
      <c r="I145" s="103"/>
      <c r="J145" s="103"/>
      <c r="K145" s="103"/>
      <c r="L145" s="103"/>
      <c r="M145" s="103"/>
      <c r="N145" s="103"/>
      <c r="O145" s="103"/>
      <c r="P145" s="103"/>
    </row>
    <row r="146" spans="2:16" s="257" customFormat="1" ht="10.35" customHeight="1" x14ac:dyDescent="0.15">
      <c r="B146" s="190"/>
      <c r="C146" s="103"/>
      <c r="D146" s="103"/>
      <c r="E146" s="103"/>
      <c r="F146" s="103"/>
      <c r="G146" s="103"/>
      <c r="H146" s="103"/>
      <c r="I146" s="103"/>
      <c r="J146" s="103"/>
      <c r="K146" s="103"/>
      <c r="L146" s="103"/>
      <c r="M146" s="103"/>
      <c r="N146" s="103"/>
      <c r="O146" s="103"/>
      <c r="P146" s="103"/>
    </row>
    <row r="147" spans="2:16" s="257" customFormat="1" ht="10.35" customHeight="1" x14ac:dyDescent="0.15">
      <c r="B147" s="190"/>
      <c r="C147" s="103"/>
      <c r="D147" s="103"/>
      <c r="E147" s="103"/>
      <c r="F147" s="103"/>
      <c r="G147" s="103"/>
      <c r="H147" s="103"/>
      <c r="I147" s="103"/>
      <c r="J147" s="103"/>
      <c r="K147" s="103"/>
      <c r="L147" s="103"/>
      <c r="M147" s="103"/>
      <c r="N147" s="103"/>
      <c r="O147" s="103"/>
      <c r="P147" s="103"/>
    </row>
    <row r="148" spans="2:16" s="257" customFormat="1" ht="10.35" customHeight="1" x14ac:dyDescent="0.15">
      <c r="B148" s="190"/>
      <c r="C148" s="103"/>
      <c r="D148" s="103"/>
      <c r="E148" s="103"/>
      <c r="F148" s="103"/>
      <c r="G148" s="103"/>
      <c r="H148" s="103"/>
      <c r="I148" s="103"/>
      <c r="J148" s="103"/>
      <c r="K148" s="103"/>
      <c r="L148" s="103"/>
      <c r="M148" s="103"/>
      <c r="N148" s="103"/>
      <c r="O148" s="103"/>
      <c r="P148" s="103"/>
    </row>
    <row r="149" spans="2:16" s="257" customFormat="1" ht="10.35" customHeight="1" x14ac:dyDescent="0.15">
      <c r="B149" s="190"/>
      <c r="C149" s="103"/>
      <c r="D149" s="103"/>
      <c r="E149" s="103"/>
      <c r="F149" s="103"/>
      <c r="G149" s="103"/>
      <c r="H149" s="103"/>
      <c r="I149" s="103"/>
      <c r="J149" s="103"/>
      <c r="K149" s="103"/>
      <c r="L149" s="103"/>
      <c r="M149" s="103"/>
      <c r="N149" s="103"/>
      <c r="O149" s="103"/>
      <c r="P149" s="103"/>
    </row>
    <row r="150" spans="2:16" s="257" customFormat="1" ht="10.35" customHeight="1" x14ac:dyDescent="0.15">
      <c r="B150" s="190"/>
      <c r="C150" s="103"/>
      <c r="D150" s="103"/>
      <c r="E150" s="103"/>
      <c r="F150" s="103"/>
      <c r="G150" s="103"/>
      <c r="H150" s="103"/>
      <c r="I150" s="103"/>
      <c r="J150" s="103"/>
      <c r="K150" s="103"/>
      <c r="L150" s="103"/>
      <c r="M150" s="103"/>
      <c r="N150" s="103"/>
      <c r="O150" s="103"/>
      <c r="P150" s="103"/>
    </row>
    <row r="151" spans="2:16" s="257" customFormat="1" ht="10.35" customHeight="1" x14ac:dyDescent="0.15">
      <c r="B151" s="190"/>
      <c r="C151" s="103"/>
      <c r="D151" s="103"/>
      <c r="E151" s="103"/>
      <c r="F151" s="103"/>
      <c r="G151" s="103"/>
      <c r="H151" s="103"/>
      <c r="I151" s="103"/>
      <c r="J151" s="103"/>
      <c r="K151" s="103"/>
      <c r="L151" s="103"/>
      <c r="M151" s="103"/>
      <c r="N151" s="103"/>
      <c r="O151" s="103"/>
      <c r="P151" s="103"/>
    </row>
    <row r="152" spans="2:16" s="257" customFormat="1" ht="10.35" customHeight="1" x14ac:dyDescent="0.15">
      <c r="B152" s="190"/>
      <c r="C152" s="103"/>
      <c r="D152" s="103"/>
      <c r="E152" s="103"/>
      <c r="F152" s="103"/>
      <c r="G152" s="103"/>
      <c r="H152" s="103"/>
      <c r="I152" s="103"/>
      <c r="J152" s="103"/>
      <c r="K152" s="103"/>
      <c r="L152" s="103"/>
      <c r="M152" s="103"/>
      <c r="N152" s="103"/>
      <c r="O152" s="103"/>
      <c r="P152" s="103"/>
    </row>
    <row r="153" spans="2:16" s="257" customFormat="1" ht="10.35" customHeight="1" x14ac:dyDescent="0.15">
      <c r="B153" s="190"/>
      <c r="C153" s="103"/>
      <c r="D153" s="103"/>
      <c r="E153" s="103"/>
      <c r="F153" s="103"/>
      <c r="G153" s="103"/>
      <c r="H153" s="103"/>
      <c r="I153" s="103"/>
      <c r="J153" s="103"/>
      <c r="K153" s="103"/>
      <c r="L153" s="103"/>
      <c r="M153" s="103"/>
      <c r="N153" s="103"/>
      <c r="O153" s="103"/>
      <c r="P153" s="103"/>
    </row>
    <row r="154" spans="2:16" s="257" customFormat="1" ht="10.35" customHeight="1" x14ac:dyDescent="0.15">
      <c r="B154" s="190"/>
      <c r="C154" s="103"/>
      <c r="D154" s="103"/>
      <c r="E154" s="103"/>
      <c r="F154" s="103"/>
      <c r="G154" s="103"/>
      <c r="H154" s="103"/>
      <c r="I154" s="103"/>
      <c r="J154" s="103"/>
      <c r="K154" s="103"/>
      <c r="L154" s="103"/>
      <c r="M154" s="103"/>
      <c r="N154" s="103"/>
      <c r="O154" s="103"/>
      <c r="P154" s="103"/>
    </row>
    <row r="155" spans="2:16" s="257" customFormat="1" ht="10.35" customHeight="1" x14ac:dyDescent="0.15">
      <c r="B155" s="190"/>
      <c r="C155" s="103"/>
      <c r="D155" s="103"/>
      <c r="E155" s="103"/>
      <c r="F155" s="103"/>
      <c r="G155" s="103"/>
      <c r="H155" s="103"/>
      <c r="I155" s="103"/>
      <c r="J155" s="103"/>
      <c r="K155" s="103"/>
      <c r="L155" s="103"/>
      <c r="M155" s="103"/>
      <c r="N155" s="103"/>
      <c r="O155" s="103"/>
      <c r="P155" s="103"/>
    </row>
    <row r="156" spans="2:16" s="257" customFormat="1" ht="10.35" customHeight="1" x14ac:dyDescent="0.15">
      <c r="B156" s="190"/>
      <c r="C156" s="103"/>
      <c r="D156" s="103"/>
      <c r="E156" s="103"/>
      <c r="F156" s="103"/>
      <c r="G156" s="103"/>
      <c r="H156" s="103"/>
      <c r="I156" s="103"/>
      <c r="J156" s="103"/>
      <c r="K156" s="103"/>
      <c r="L156" s="103"/>
      <c r="M156" s="103"/>
      <c r="N156" s="103"/>
      <c r="O156" s="103"/>
      <c r="P156" s="103"/>
    </row>
    <row r="157" spans="2:16" s="257" customFormat="1" ht="10.35" customHeight="1" x14ac:dyDescent="0.15">
      <c r="B157" s="190"/>
      <c r="C157" s="103"/>
      <c r="D157" s="103"/>
      <c r="E157" s="103"/>
      <c r="F157" s="103"/>
      <c r="G157" s="103"/>
      <c r="H157" s="103"/>
      <c r="I157" s="103"/>
      <c r="J157" s="103"/>
      <c r="K157" s="103"/>
      <c r="L157" s="103"/>
      <c r="M157" s="103"/>
      <c r="N157" s="103"/>
      <c r="O157" s="103"/>
      <c r="P157" s="103"/>
    </row>
    <row r="158" spans="2:16" s="257" customFormat="1" ht="10.35" customHeight="1" x14ac:dyDescent="0.15">
      <c r="B158" s="190"/>
      <c r="C158" s="103"/>
      <c r="D158" s="103"/>
      <c r="E158" s="103"/>
      <c r="F158" s="103"/>
      <c r="G158" s="103"/>
      <c r="H158" s="103"/>
      <c r="I158" s="103"/>
      <c r="J158" s="103"/>
      <c r="K158" s="103"/>
      <c r="L158" s="103"/>
      <c r="M158" s="103"/>
      <c r="N158" s="103"/>
      <c r="O158" s="103"/>
      <c r="P158" s="103"/>
    </row>
    <row r="159" spans="2:16" s="257" customFormat="1" ht="10.35" customHeight="1" x14ac:dyDescent="0.15">
      <c r="B159" s="190"/>
      <c r="C159" s="103"/>
      <c r="D159" s="103"/>
      <c r="E159" s="103"/>
      <c r="F159" s="103"/>
      <c r="G159" s="103"/>
      <c r="H159" s="103"/>
      <c r="I159" s="103"/>
      <c r="J159" s="103"/>
      <c r="K159" s="103"/>
      <c r="L159" s="103"/>
      <c r="M159" s="103"/>
      <c r="N159" s="103"/>
      <c r="O159" s="103"/>
      <c r="P159" s="103"/>
    </row>
    <row r="160" spans="2:16" s="257" customFormat="1" ht="10.35" customHeight="1" x14ac:dyDescent="0.15">
      <c r="B160" s="190"/>
      <c r="C160" s="103"/>
      <c r="D160" s="103"/>
      <c r="E160" s="103"/>
      <c r="F160" s="103"/>
      <c r="G160" s="103"/>
      <c r="H160" s="103"/>
      <c r="I160" s="103"/>
      <c r="J160" s="103"/>
      <c r="K160" s="103"/>
      <c r="L160" s="103"/>
      <c r="M160" s="103"/>
      <c r="N160" s="103"/>
      <c r="O160" s="103"/>
      <c r="P160" s="103"/>
    </row>
    <row r="161" spans="2:16" s="257" customFormat="1" ht="10.35" customHeight="1" x14ac:dyDescent="0.15">
      <c r="B161" s="190"/>
      <c r="C161" s="103"/>
      <c r="D161" s="103"/>
      <c r="E161" s="103"/>
      <c r="F161" s="103"/>
      <c r="G161" s="103"/>
      <c r="H161" s="103"/>
      <c r="I161" s="103"/>
      <c r="J161" s="103"/>
      <c r="K161" s="103"/>
      <c r="L161" s="103"/>
      <c r="M161" s="103"/>
      <c r="N161" s="103"/>
      <c r="O161" s="103"/>
      <c r="P161" s="103"/>
    </row>
    <row r="162" spans="2:16" s="257" customFormat="1" ht="10.35" customHeight="1" x14ac:dyDescent="0.15">
      <c r="B162" s="190"/>
      <c r="C162" s="103"/>
      <c r="D162" s="103"/>
      <c r="E162" s="103"/>
      <c r="F162" s="103"/>
      <c r="G162" s="103"/>
      <c r="H162" s="103"/>
      <c r="I162" s="103"/>
      <c r="J162" s="103"/>
      <c r="K162" s="103"/>
      <c r="L162" s="103"/>
      <c r="M162" s="103"/>
      <c r="N162" s="103"/>
      <c r="O162" s="103"/>
      <c r="P162" s="103"/>
    </row>
    <row r="163" spans="2:16" s="257" customFormat="1" ht="10.35" customHeight="1" x14ac:dyDescent="0.15">
      <c r="B163" s="256"/>
    </row>
    <row r="164" spans="2:16" s="257" customFormat="1" ht="10.35" customHeight="1" x14ac:dyDescent="0.15">
      <c r="B164" s="256"/>
    </row>
    <row r="165" spans="2:16" s="257" customFormat="1" ht="10.35" customHeight="1" x14ac:dyDescent="0.15">
      <c r="B165" s="256"/>
    </row>
    <row r="166" spans="2:16" s="257" customFormat="1" ht="10.35" customHeight="1" x14ac:dyDescent="0.15">
      <c r="B166" s="256"/>
    </row>
    <row r="167" spans="2:16" s="257" customFormat="1" ht="10.35" customHeight="1" x14ac:dyDescent="0.15">
      <c r="B167" s="256"/>
    </row>
    <row r="168" spans="2:16" s="257" customFormat="1" ht="10.35" customHeight="1" x14ac:dyDescent="0.15">
      <c r="B168" s="256"/>
    </row>
    <row r="169" spans="2:16" s="257" customFormat="1" ht="10.35" customHeight="1" x14ac:dyDescent="0.15">
      <c r="B169" s="256"/>
    </row>
    <row r="170" spans="2:16" s="257" customFormat="1" ht="10.35" customHeight="1" x14ac:dyDescent="0.15">
      <c r="B170" s="256"/>
    </row>
  </sheetData>
  <sheetProtection password="EECE" sheet="1" objects="1" scenarios="1" formatCells="0" formatColumns="0" formatRows="0"/>
  <customSheetViews>
    <customSheetView guid="{C3088B2E-F853-4D7E-B687-C6500891DFCB}" scale="110" showPageBreaks="1" fitToPage="1" printArea="1">
      <pane xSplit="3" ySplit="6" topLeftCell="J35" activePane="bottomRight" state="frozen"/>
      <selection pane="bottomRight" activeCell="A67" sqref="A67:A72"/>
      <rowBreaks count="1" manualBreakCount="1">
        <brk id="52" max="12" man="1"/>
      </rowBreaks>
      <pageMargins left="0.47244094488188981" right="0.47244094488188981" top="0.59055118110236227" bottom="0.59055118110236227" header="0.39370078740157483" footer="0.39370078740157483"/>
      <pageSetup scale="81" fitToHeight="0" orientation="landscape" r:id="rId1"/>
      <headerFooter alignWithMargins="0">
        <oddFooter>&amp;L&amp;8&amp;D  &amp;T&amp;R&amp;8March 2014, Version 0.2</oddFooter>
      </headerFooter>
    </customSheetView>
    <customSheetView guid="{F866C9B2-56BF-4FE4-B270-CC8FE15A5892}" scale="110" showPageBreaks="1" fitToPage="1" printArea="1">
      <pane xSplit="2" ySplit="6" topLeftCell="D43" activePane="bottomRight" state="frozen"/>
      <selection pane="bottomRight"/>
      <rowBreaks count="1" manualBreakCount="1">
        <brk id="52" max="12" man="1"/>
      </rowBreaks>
      <pageMargins left="0.47244094488188981" right="0.47244094488188981" top="0.59055118110236227" bottom="0.59055118110236227" header="0.39370078740157483" footer="0.39370078740157483"/>
      <pageSetup scale="80" fitToHeight="0" orientation="landscape" r:id="rId2"/>
      <headerFooter alignWithMargins="0">
        <oddFooter>&amp;L&amp;8&amp;D  &amp;T&amp;R&amp;8March 2014, Version 0.2</oddFooter>
      </headerFooter>
    </customSheetView>
    <customSheetView guid="{D66484CB-9D53-43A1-A83D-11534BC40BF6}" scale="110" showPageBreaks="1" fitToPage="1" printArea="1">
      <pane xSplit="3" ySplit="6" topLeftCell="D7" activePane="bottomRight" state="frozen"/>
      <selection pane="bottomRight" activeCell="B19" sqref="B19"/>
      <rowBreaks count="1" manualBreakCount="1">
        <brk id="52" max="12" man="1"/>
      </rowBreaks>
      <pageMargins left="0.47244094488188981" right="0.47244094488188981" top="0.59055118110236227" bottom="0.59055118110236227" header="0.39370078740157483" footer="0.39370078740157483"/>
      <pageSetup scale="80" fitToHeight="0" orientation="landscape" r:id="rId3"/>
      <headerFooter alignWithMargins="0">
        <oddFooter>&amp;L&amp;8&amp;D  &amp;T&amp;R&amp;8March 2014, Version 0.2</oddFooter>
      </headerFooter>
    </customSheetView>
  </customSheetViews>
  <mergeCells count="12">
    <mergeCell ref="G1:M1"/>
    <mergeCell ref="F2:N2"/>
    <mergeCell ref="P4:Q4"/>
    <mergeCell ref="K4:K5"/>
    <mergeCell ref="L4:L5"/>
    <mergeCell ref="M4:M5"/>
    <mergeCell ref="J4:J5"/>
    <mergeCell ref="B4:C5"/>
    <mergeCell ref="G3:H3"/>
    <mergeCell ref="E4:H4"/>
    <mergeCell ref="I4:I5"/>
    <mergeCell ref="N3:N5"/>
  </mergeCells>
  <conditionalFormatting sqref="P8:Q80">
    <cfRule type="containsText" dxfId="266" priority="49" operator="containsText" text="NV">
      <formula>NOT(ISERROR(SEARCH("NV",P8)))</formula>
    </cfRule>
    <cfRule type="cellIs" dxfId="265" priority="53" operator="lessThan">
      <formula>-0.5</formula>
    </cfRule>
    <cfRule type="cellIs" dxfId="264" priority="54" operator="greaterThan">
      <formula>0.5</formula>
    </cfRule>
  </conditionalFormatting>
  <conditionalFormatting sqref="E83:N99">
    <cfRule type="cellIs" dxfId="263" priority="51" operator="lessThan">
      <formula>-0.1</formula>
    </cfRule>
    <cfRule type="cellIs" dxfId="262" priority="52" operator="greaterThan">
      <formula>0.1</formula>
    </cfRule>
  </conditionalFormatting>
  <conditionalFormatting sqref="E84:N99">
    <cfRule type="cellIs" dxfId="261" priority="45" operator="lessThan">
      <formula>-0.1</formula>
    </cfRule>
    <cfRule type="cellIs" dxfId="260" priority="46" operator="greaterThan">
      <formula>0.1</formula>
    </cfRule>
  </conditionalFormatting>
  <conditionalFormatting sqref="E100:N101 E106:N107 E102:L105 N102:N105 E110:N111 E108:F109 M108:N109 E114:N115 E112:F113 M112:N113">
    <cfRule type="containsText" dxfId="259" priority="47" operator="containsText" text="Vérifier">
      <formula>NOT(ISERROR(SEARCH("Vérifier",E100)))</formula>
    </cfRule>
  </conditionalFormatting>
  <conditionalFormatting sqref="P8:Q53">
    <cfRule type="cellIs" dxfId="258" priority="41" operator="between">
      <formula>-0.1</formula>
      <formula>0.1</formula>
    </cfRule>
    <cfRule type="containsText" dxfId="257" priority="42" operator="containsText" text="NA">
      <formula>NOT(ISERROR(SEARCH("NA",P8)))</formula>
    </cfRule>
  </conditionalFormatting>
  <conditionalFormatting sqref="G107 G110:G111 G114">
    <cfRule type="containsText" dxfId="256" priority="40" operator="containsText" text="Oui">
      <formula>NOT(ISERROR(SEARCH("Oui",G107)))</formula>
    </cfRule>
  </conditionalFormatting>
  <conditionalFormatting sqref="L107 L110:L111 L114">
    <cfRule type="containsText" dxfId="255" priority="39" operator="containsText" text="Oui">
      <formula>NOT(ISERROR(SEARCH("Oui",L107)))</formula>
    </cfRule>
  </conditionalFormatting>
  <conditionalFormatting sqref="E84:N84 E86:N99">
    <cfRule type="containsText" dxfId="254" priority="37" operator="containsText" text="NA">
      <formula>NOT(ISERROR(SEARCH("NA",E84)))</formula>
    </cfRule>
  </conditionalFormatting>
  <conditionalFormatting sqref="E84:N84 E86:N98">
    <cfRule type="cellIs" dxfId="253" priority="36" operator="between">
      <formula>-0.1</formula>
      <formula>0.1</formula>
    </cfRule>
  </conditionalFormatting>
  <conditionalFormatting sqref="G114">
    <cfRule type="containsText" dxfId="252" priority="35" operator="containsText" text="yes">
      <formula>NOT(ISERROR(SEARCH("yes",G114)))</formula>
    </cfRule>
  </conditionalFormatting>
  <conditionalFormatting sqref="L114">
    <cfRule type="containsText" dxfId="251" priority="34" operator="containsText" text="Oui">
      <formula>NOT(ISERROR(SEARCH("Oui",L114)))</formula>
    </cfRule>
  </conditionalFormatting>
  <conditionalFormatting sqref="L114">
    <cfRule type="containsText" dxfId="250" priority="33" operator="containsText" text="yes">
      <formula>NOT(ISERROR(SEARCH("yes",L114)))</formula>
    </cfRule>
  </conditionalFormatting>
  <conditionalFormatting sqref="L114">
    <cfRule type="containsText" dxfId="249" priority="32" operator="containsText" text="yes">
      <formula>NOT(ISERROR(SEARCH("yes",L114)))</formula>
    </cfRule>
  </conditionalFormatting>
  <conditionalFormatting sqref="L114">
    <cfRule type="containsText" dxfId="248" priority="31" operator="containsText" text="yes">
      <formula>NOT(ISERROR(SEARCH("yes",L114)))</formula>
    </cfRule>
  </conditionalFormatting>
  <conditionalFormatting sqref="L114">
    <cfRule type="containsText" dxfId="247" priority="30" operator="containsText" text="yes">
      <formula>NOT(ISERROR(SEARCH("yes",L114)))</formula>
    </cfRule>
  </conditionalFormatting>
  <conditionalFormatting sqref="L114">
    <cfRule type="containsText" dxfId="246" priority="29" operator="containsText" text="yes">
      <formula>NOT(ISERROR(SEARCH("yes",L114)))</formula>
    </cfRule>
  </conditionalFormatting>
  <conditionalFormatting sqref="G114">
    <cfRule type="containsText" dxfId="245" priority="28" operator="containsText" text="yes">
      <formula>NOT(ISERROR(SEARCH("yes",G114)))</formula>
    </cfRule>
  </conditionalFormatting>
  <conditionalFormatting sqref="G114">
    <cfRule type="containsText" dxfId="244" priority="27" operator="containsText" text="yes">
      <formula>NOT(ISERROR(SEARCH("yes",G114)))</formula>
    </cfRule>
  </conditionalFormatting>
  <conditionalFormatting sqref="G114">
    <cfRule type="containsText" dxfId="243" priority="26" operator="containsText" text="yes">
      <formula>NOT(ISERROR(SEARCH("yes",G114)))</formula>
    </cfRule>
  </conditionalFormatting>
  <conditionalFormatting sqref="G114">
    <cfRule type="containsText" dxfId="242" priority="25" operator="containsText" text="yes">
      <formula>NOT(ISERROR(SEARCH("yes",G114)))</formula>
    </cfRule>
  </conditionalFormatting>
  <conditionalFormatting sqref="G114">
    <cfRule type="containsText" dxfId="241" priority="24" operator="containsText" text="yes">
      <formula>NOT(ISERROR(SEARCH("yes",G114)))</formula>
    </cfRule>
  </conditionalFormatting>
  <conditionalFormatting sqref="G114">
    <cfRule type="containsText" dxfId="240" priority="23" operator="containsText" text="yes">
      <formula>NOT(ISERROR(SEARCH("yes",G114)))</formula>
    </cfRule>
  </conditionalFormatting>
  <conditionalFormatting sqref="G114">
    <cfRule type="containsText" dxfId="239" priority="22" operator="containsText" text="yes">
      <formula>NOT(ISERROR(SEARCH("yes",G114)))</formula>
    </cfRule>
  </conditionalFormatting>
  <conditionalFormatting sqref="L107 G107 G110:G111 L110:L111 L114 G114">
    <cfRule type="containsText" dxfId="238" priority="21" operator="containsText" text="NA">
      <formula>NOT(ISERROR(SEARCH("NA",G107)))</formula>
    </cfRule>
  </conditionalFormatting>
  <conditionalFormatting sqref="G114">
    <cfRule type="containsText" dxfId="237" priority="20" operator="containsText" text="yes">
      <formula>NOT(ISERROR(SEARCH("yes",G114)))</formula>
    </cfRule>
  </conditionalFormatting>
  <conditionalFormatting sqref="G114">
    <cfRule type="containsText" dxfId="236" priority="19" operator="containsText" text="yes">
      <formula>NOT(ISERROR(SEARCH("yes",G114)))</formula>
    </cfRule>
  </conditionalFormatting>
  <conditionalFormatting sqref="G114">
    <cfRule type="containsText" dxfId="235" priority="18" operator="containsText" text="Oui">
      <formula>NOT(ISERROR(SEARCH("Oui",G114)))</formula>
    </cfRule>
  </conditionalFormatting>
  <conditionalFormatting sqref="G114">
    <cfRule type="containsText" dxfId="234" priority="17" operator="containsText" text="Oui">
      <formula>NOT(ISERROR(SEARCH("Oui",G114)))</formula>
    </cfRule>
  </conditionalFormatting>
  <conditionalFormatting sqref="G114">
    <cfRule type="containsText" dxfId="233" priority="16" operator="containsText" text="Oui">
      <formula>NOT(ISERROR(SEARCH("Oui",G114)))</formula>
    </cfRule>
  </conditionalFormatting>
  <conditionalFormatting sqref="G114">
    <cfRule type="containsText" dxfId="232" priority="15" operator="containsText" text="Oui">
      <formula>NOT(ISERROR(SEARCH("Oui",G114)))</formula>
    </cfRule>
  </conditionalFormatting>
  <conditionalFormatting sqref="G114">
    <cfRule type="containsText" dxfId="231" priority="14" operator="containsText" text="Oui">
      <formula>NOT(ISERROR(SEARCH("Oui",G114)))</formula>
    </cfRule>
  </conditionalFormatting>
  <conditionalFormatting sqref="M102:M105">
    <cfRule type="containsText" dxfId="230" priority="5" operator="containsText" text="si">
      <formula>NOT(ISERROR(SEARCH("si",M102)))</formula>
    </cfRule>
    <cfRule type="containsText" dxfId="229" priority="12" operator="containsText" text="NV">
      <formula>NOT(ISERROR(SEARCH("NV",M102)))</formula>
    </cfRule>
    <cfRule type="containsText" dxfId="228" priority="13" operator="containsText" text="check">
      <formula>NOT(ISERROR(SEARCH("check",M102)))</formula>
    </cfRule>
  </conditionalFormatting>
  <conditionalFormatting sqref="G108:L108">
    <cfRule type="containsText" dxfId="227" priority="10" operator="containsText" text="NV">
      <formula>NOT(ISERROR(SEARCH("NV",G108)))</formula>
    </cfRule>
    <cfRule type="containsText" dxfId="226" priority="11" operator="containsText" text="check">
      <formula>NOT(ISERROR(SEARCH("check",G108)))</formula>
    </cfRule>
  </conditionalFormatting>
  <conditionalFormatting sqref="G109:L109">
    <cfRule type="containsText" dxfId="225" priority="8" operator="containsText" text="NV">
      <formula>NOT(ISERROR(SEARCH("NV",G109)))</formula>
    </cfRule>
    <cfRule type="containsText" dxfId="224" priority="9" operator="containsText" text="check">
      <formula>NOT(ISERROR(SEARCH("check",G109)))</formula>
    </cfRule>
  </conditionalFormatting>
  <conditionalFormatting sqref="G112:L113">
    <cfRule type="containsText" dxfId="223" priority="6" operator="containsText" text="NV">
      <formula>NOT(ISERROR(SEARCH("NV",G112)))</formula>
    </cfRule>
    <cfRule type="containsText" dxfId="222" priority="7" operator="containsText" text="check">
      <formula>NOT(ISERROR(SEARCH("check",G112)))</formula>
    </cfRule>
  </conditionalFormatting>
  <conditionalFormatting sqref="G107:G114">
    <cfRule type="containsText" dxfId="221" priority="4" operator="containsText" text="si">
      <formula>NOT(ISERROR(SEARCH("si",G107)))</formula>
    </cfRule>
  </conditionalFormatting>
  <conditionalFormatting sqref="L107:L114">
    <cfRule type="containsText" dxfId="220" priority="3" operator="containsText" text="si">
      <formula>NOT(ISERROR(SEARCH("si",L107)))</formula>
    </cfRule>
  </conditionalFormatting>
  <conditionalFormatting sqref="G102:M114">
    <cfRule type="containsText" dxfId="219" priority="2" operator="containsText" text="v">
      <formula>NOT(ISERROR(SEARCH("v",G102)))</formula>
    </cfRule>
  </conditionalFormatting>
  <conditionalFormatting sqref="G101:N114">
    <cfRule type="containsText" dxfId="218" priority="1" operator="containsText" text="v">
      <formula>NOT(ISERROR(SEARCH("v",G101)))</formula>
    </cfRule>
  </conditionalFormatting>
  <pageMargins left="0.47244094488188998" right="0.47244094488188998" top="0.59055118110236204" bottom="0.59055118110236204" header="0.39370078740157499" footer="0.39370078740157499"/>
  <pageSetup scale="80" fitToHeight="0" orientation="landscape" r:id="rId4"/>
  <headerFooter alignWithMargins="0">
    <oddFooter>&amp;L&amp;8&amp;D  &amp;T&amp;R&amp;8March 2014, Version 0.2</oddFooter>
  </headerFooter>
  <rowBreaks count="1" manualBreakCount="1">
    <brk id="53" min="1" max="13" man="1"/>
  </rowBreaks>
  <legacyDrawing r:id="rId5"/>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indexed="52"/>
    <pageSetUpPr fitToPage="1"/>
  </sheetPr>
  <dimension ref="A1:Q251"/>
  <sheetViews>
    <sheetView zoomScale="150" zoomScaleNormal="150" workbookViewId="0">
      <pane xSplit="4" ySplit="7" topLeftCell="E80" activePane="bottomRight" state="frozen"/>
      <selection activeCell="Q53" sqref="P8:Q53"/>
      <selection pane="topRight" activeCell="Q53" sqref="P8:Q53"/>
      <selection pane="bottomLeft" activeCell="Q53" sqref="P8:Q53"/>
      <selection pane="bottomRight" activeCell="E14" sqref="E14"/>
    </sheetView>
  </sheetViews>
  <sheetFormatPr baseColWidth="10" defaultColWidth="9.140625" defaultRowHeight="12.75" x14ac:dyDescent="0.2"/>
  <cols>
    <col min="1" max="1" width="13.42578125" style="164" hidden="1" customWidth="1"/>
    <col min="2" max="2" width="7.28515625" style="221" customWidth="1"/>
    <col min="3" max="3" width="46.140625" style="164" customWidth="1"/>
    <col min="4" max="4" width="0.85546875" style="164" customWidth="1"/>
    <col min="5" max="14" width="10" style="164" customWidth="1"/>
    <col min="15" max="15" width="3.28515625" style="164" customWidth="1"/>
    <col min="16" max="17" width="11.7109375" style="164" customWidth="1"/>
    <col min="18" max="18" width="9.140625" style="164" customWidth="1"/>
    <col min="19" max="16384" width="9.140625" style="164"/>
  </cols>
  <sheetData>
    <row r="1" spans="1:17" ht="14.25" x14ac:dyDescent="0.25">
      <c r="B1" s="513" t="str">
        <f>+Coverpage!A1</f>
        <v>GFSM2014_V1.5</v>
      </c>
      <c r="C1" s="514"/>
      <c r="D1" s="515"/>
      <c r="E1" s="516"/>
      <c r="F1" s="517"/>
      <c r="G1" s="771" t="str">
        <f>Reporting_Country_Name</f>
        <v>Colombia</v>
      </c>
      <c r="H1" s="771"/>
      <c r="I1" s="771"/>
      <c r="J1" s="771"/>
      <c r="K1" s="771"/>
      <c r="L1" s="771"/>
      <c r="M1" s="771"/>
      <c r="N1" s="661" t="str">
        <f>Reporting_Country_Code</f>
        <v>233</v>
      </c>
      <c r="O1" s="519"/>
      <c r="P1" s="653" t="s">
        <v>2731</v>
      </c>
      <c r="Q1" s="654"/>
    </row>
    <row r="2" spans="1:17" ht="14.25" x14ac:dyDescent="0.25">
      <c r="B2" s="513" t="s">
        <v>3002</v>
      </c>
      <c r="C2" s="582"/>
      <c r="D2" s="583"/>
      <c r="E2" s="523"/>
      <c r="F2" s="780" t="str">
        <f>"En "&amp;Coverpage!$I$15&amp;" de "&amp;Coverpage!$I$14&amp;" / El año fiscal termina en "&amp;Coverpage!$I$11&amp;" "&amp;Coverpage!$I$12</f>
        <v xml:space="preserve">En Billion de Colombian Pesos (COP) / El año fiscal termina en  </v>
      </c>
      <c r="G2" s="781"/>
      <c r="H2" s="781"/>
      <c r="I2" s="781"/>
      <c r="J2" s="781"/>
      <c r="K2" s="781"/>
      <c r="L2" s="781"/>
      <c r="M2" s="781"/>
      <c r="N2" s="781"/>
      <c r="O2" s="519"/>
      <c r="P2" s="655" t="s">
        <v>2732</v>
      </c>
      <c r="Q2" s="656"/>
    </row>
    <row r="3" spans="1:17" ht="12" customHeight="1" x14ac:dyDescent="0.25">
      <c r="B3" s="524"/>
      <c r="C3" s="525"/>
      <c r="D3" s="526"/>
      <c r="E3" s="527"/>
      <c r="F3" s="528"/>
      <c r="G3" s="784" t="s">
        <v>2726</v>
      </c>
      <c r="H3" s="784"/>
      <c r="I3" s="529" t="str">
        <f>Reporting_Period_Code</f>
        <v>2016</v>
      </c>
      <c r="J3" s="529"/>
      <c r="K3" s="528"/>
      <c r="L3" s="528"/>
      <c r="M3" s="530"/>
      <c r="N3" s="790" t="s">
        <v>2723</v>
      </c>
      <c r="O3" s="531"/>
      <c r="P3" s="168"/>
      <c r="Q3" s="168"/>
    </row>
    <row r="4" spans="1:17" ht="12" customHeight="1" x14ac:dyDescent="0.2">
      <c r="B4" s="794" t="s">
        <v>3001</v>
      </c>
      <c r="C4" s="795"/>
      <c r="D4" s="532"/>
      <c r="E4" s="787" t="s">
        <v>2727</v>
      </c>
      <c r="F4" s="788"/>
      <c r="G4" s="788"/>
      <c r="H4" s="789"/>
      <c r="I4" s="790" t="s">
        <v>2719</v>
      </c>
      <c r="J4" s="790" t="s">
        <v>2720</v>
      </c>
      <c r="K4" s="792" t="s">
        <v>2721</v>
      </c>
      <c r="L4" s="790" t="s">
        <v>2728</v>
      </c>
      <c r="M4" s="793" t="s">
        <v>2722</v>
      </c>
      <c r="N4" s="791"/>
      <c r="O4" s="531"/>
      <c r="P4" s="778" t="s">
        <v>2733</v>
      </c>
      <c r="Q4" s="779"/>
    </row>
    <row r="5" spans="1:17" ht="30" customHeight="1" x14ac:dyDescent="0.2">
      <c r="B5" s="794"/>
      <c r="C5" s="795"/>
      <c r="D5" s="532"/>
      <c r="E5" s="711" t="s">
        <v>2729</v>
      </c>
      <c r="F5" s="712" t="s">
        <v>2813</v>
      </c>
      <c r="G5" s="712" t="s">
        <v>2728</v>
      </c>
      <c r="H5" s="713" t="s">
        <v>2718</v>
      </c>
      <c r="I5" s="791"/>
      <c r="J5" s="791"/>
      <c r="K5" s="792"/>
      <c r="L5" s="791"/>
      <c r="M5" s="793"/>
      <c r="N5" s="791"/>
      <c r="O5" s="531"/>
      <c r="P5" s="668" t="s">
        <v>2734</v>
      </c>
      <c r="Q5" s="669" t="s">
        <v>2735</v>
      </c>
    </row>
    <row r="6" spans="1:17" ht="30" hidden="1" customHeight="1" x14ac:dyDescent="0.2">
      <c r="B6" s="618"/>
      <c r="C6" s="619"/>
      <c r="D6" s="532"/>
      <c r="E6" s="538" t="s">
        <v>1562</v>
      </c>
      <c r="F6" s="539" t="s">
        <v>1563</v>
      </c>
      <c r="G6" s="539" t="s">
        <v>1575</v>
      </c>
      <c r="H6" s="540" t="s">
        <v>634</v>
      </c>
      <c r="I6" s="539" t="s">
        <v>1564</v>
      </c>
      <c r="J6" s="539" t="s">
        <v>1574</v>
      </c>
      <c r="K6" s="540" t="s">
        <v>637</v>
      </c>
      <c r="L6" s="539" t="s">
        <v>1576</v>
      </c>
      <c r="M6" s="541" t="s">
        <v>1565</v>
      </c>
      <c r="N6" s="541" t="s">
        <v>1577</v>
      </c>
      <c r="O6" s="531"/>
      <c r="P6" s="171" t="s">
        <v>640</v>
      </c>
      <c r="Q6" s="172" t="s">
        <v>641</v>
      </c>
    </row>
    <row r="7" spans="1:17" ht="10.5" customHeight="1" x14ac:dyDescent="0.2">
      <c r="A7" s="143"/>
      <c r="B7" s="536"/>
      <c r="C7" s="537"/>
      <c r="D7" s="537"/>
      <c r="E7" s="538" t="s">
        <v>632</v>
      </c>
      <c r="F7" s="539" t="s">
        <v>633</v>
      </c>
      <c r="G7" s="540" t="s">
        <v>155</v>
      </c>
      <c r="H7" s="539" t="s">
        <v>634</v>
      </c>
      <c r="I7" s="540" t="s">
        <v>635</v>
      </c>
      <c r="J7" s="539" t="s">
        <v>636</v>
      </c>
      <c r="K7" s="540" t="s">
        <v>637</v>
      </c>
      <c r="L7" s="539" t="s">
        <v>156</v>
      </c>
      <c r="M7" s="541" t="s">
        <v>638</v>
      </c>
      <c r="N7" s="541" t="s">
        <v>639</v>
      </c>
      <c r="O7" s="531"/>
      <c r="P7" s="171" t="s">
        <v>640</v>
      </c>
      <c r="Q7" s="172" t="s">
        <v>641</v>
      </c>
    </row>
    <row r="8" spans="1:17" ht="15" customHeight="1" x14ac:dyDescent="0.25">
      <c r="A8" s="143" t="s">
        <v>1673</v>
      </c>
      <c r="B8" s="594" t="s">
        <v>59</v>
      </c>
      <c r="C8" s="595" t="s">
        <v>3003</v>
      </c>
      <c r="D8" s="586" t="s">
        <v>48</v>
      </c>
      <c r="E8" s="87">
        <f t="shared" ref="E8:N8" si="0">IF(OR(E9="NA",E22="NA",E49="NA"),"NA",IF(AND(E9="",E22="",E49=""),"",SUM(E9)+SUM(E22)-SUM(E49)))</f>
        <v>-23773.297839926003</v>
      </c>
      <c r="F8" s="87">
        <f t="shared" si="0"/>
        <v>-179.29018000000008</v>
      </c>
      <c r="G8" s="87">
        <f>IF(OR(G22="NA",G49="NA"),"NA",IF(AND(G22="",G49=""),"",SUM(G9)+SUM(G22)-SUM(G49)))</f>
        <v>-1697.5920000000001</v>
      </c>
      <c r="H8" s="87">
        <f t="shared" si="0"/>
        <v>-25650.180019926011</v>
      </c>
      <c r="I8" s="87">
        <f t="shared" si="0"/>
        <v>-493.27834499999994</v>
      </c>
      <c r="J8" s="87">
        <f t="shared" si="0"/>
        <v>1168.1353581719995</v>
      </c>
      <c r="K8" s="87">
        <f t="shared" si="0"/>
        <v>16730.834618019999</v>
      </c>
      <c r="L8" s="87">
        <f>IF(OR(L22="NA",L49="NA"),"NA",IF(AND(L22="",L49=""),"",SUM(L9)+SUM(L22)-SUM(L49)))</f>
        <v>-844.96100000000001</v>
      </c>
      <c r="M8" s="87">
        <f t="shared" si="0"/>
        <v>-9089.4493887339922</v>
      </c>
      <c r="N8" s="145">
        <f t="shared" si="0"/>
        <v>-26143.458364925995</v>
      </c>
      <c r="O8" s="546"/>
      <c r="P8" s="268">
        <f t="shared" ref="P8:P39" si="1">IF(OR(H8="NA",E8="NA",F8="NA",G8="NA"),"NA",SUM(H8)-SUM(E8:G8))</f>
        <v>-7.2759576141834259E-12</v>
      </c>
      <c r="Q8" s="269">
        <f t="shared" ref="Q8:Q39" si="2">IF(OR(M8="NA",H8="NA",I8="NA",J8="NA",K8="NA",L8="NA"),"NA",SUM(M8)-SUM(H8:L8))</f>
        <v>1.8189894035458565E-11</v>
      </c>
    </row>
    <row r="9" spans="1:17" ht="15" customHeight="1" x14ac:dyDescent="0.25">
      <c r="A9" s="143" t="s">
        <v>1674</v>
      </c>
      <c r="B9" s="599" t="s">
        <v>158</v>
      </c>
      <c r="C9" s="600" t="s">
        <v>3004</v>
      </c>
      <c r="D9" s="553" t="s">
        <v>48</v>
      </c>
      <c r="E9" s="144">
        <f t="shared" ref="E9:N9" si="3">IF(OR(E10="NA",E15="NA",E16="NA",E17="NA"),"NA",IF(AND(E10="",E15="",E16="",E17=""),"",SUM(E10)+SUM(E15:E17)))</f>
        <v>9368.8477039999998</v>
      </c>
      <c r="F9" s="144">
        <f t="shared" si="3"/>
        <v>-130.14933100000002</v>
      </c>
      <c r="G9" s="512">
        <v>0</v>
      </c>
      <c r="H9" s="144">
        <f t="shared" si="3"/>
        <v>9238.6983729999993</v>
      </c>
      <c r="I9" s="144">
        <f t="shared" si="3"/>
        <v>529.74416599999995</v>
      </c>
      <c r="J9" s="144">
        <f t="shared" si="3"/>
        <v>2185.7212089999998</v>
      </c>
      <c r="K9" s="144">
        <f t="shared" si="3"/>
        <v>7747.2745940000004</v>
      </c>
      <c r="L9" s="512">
        <v>0</v>
      </c>
      <c r="M9" s="144">
        <f t="shared" si="3"/>
        <v>19701.438341999998</v>
      </c>
      <c r="N9" s="144">
        <f t="shared" si="3"/>
        <v>9768.4425389999979</v>
      </c>
      <c r="O9" s="546"/>
      <c r="P9" s="181">
        <f t="shared" si="1"/>
        <v>0</v>
      </c>
      <c r="Q9" s="182">
        <f t="shared" si="2"/>
        <v>-3.637978807091713E-12</v>
      </c>
    </row>
    <row r="10" spans="1:17" ht="15" customHeight="1" x14ac:dyDescent="0.25">
      <c r="A10" s="143" t="s">
        <v>1675</v>
      </c>
      <c r="B10" s="547" t="s">
        <v>1082</v>
      </c>
      <c r="C10" s="601" t="s">
        <v>3005</v>
      </c>
      <c r="D10" s="532" t="s">
        <v>48</v>
      </c>
      <c r="E10" s="90">
        <f t="shared" ref="E10:N10" si="4">IF(OR(E11="NA",E12="NA",E13="NA",E14="NA"),"NA",IF(AND(E11="",E12="",E13="",E14=""),"",SUM(E11:E14)))</f>
        <v>10066.330609999999</v>
      </c>
      <c r="F10" s="90">
        <f t="shared" si="4"/>
        <v>48.877752000000001</v>
      </c>
      <c r="G10" s="477">
        <v>0</v>
      </c>
      <c r="H10" s="90">
        <f t="shared" si="4"/>
        <v>10115.208361999999</v>
      </c>
      <c r="I10" s="90">
        <f t="shared" si="4"/>
        <v>538.99138199999993</v>
      </c>
      <c r="J10" s="90">
        <f t="shared" si="4"/>
        <v>2851.3488179999999</v>
      </c>
      <c r="K10" s="90">
        <f t="shared" si="4"/>
        <v>7463.6762950000002</v>
      </c>
      <c r="L10" s="477">
        <v>0</v>
      </c>
      <c r="M10" s="90">
        <f t="shared" si="4"/>
        <v>20969.224856999997</v>
      </c>
      <c r="N10" s="90">
        <f t="shared" si="4"/>
        <v>10654.199743999998</v>
      </c>
      <c r="O10" s="546"/>
      <c r="P10" s="178">
        <f t="shared" si="1"/>
        <v>0</v>
      </c>
      <c r="Q10" s="179">
        <f t="shared" si="2"/>
        <v>-3.637978807091713E-12</v>
      </c>
    </row>
    <row r="11" spans="1:17" ht="10.35" customHeight="1" x14ac:dyDescent="0.25">
      <c r="A11" s="143" t="s">
        <v>1676</v>
      </c>
      <c r="B11" s="549" t="s">
        <v>1083</v>
      </c>
      <c r="C11" s="602" t="s">
        <v>3006</v>
      </c>
      <c r="D11" s="532" t="s">
        <v>48</v>
      </c>
      <c r="E11" s="89">
        <v>11710.628952999999</v>
      </c>
      <c r="F11" s="89">
        <v>6.1238000000000001E-2</v>
      </c>
      <c r="G11" s="473">
        <v>0</v>
      </c>
      <c r="H11" s="89">
        <f t="shared" ref="H11:H16" si="5">IF(OR(E11="NA",F11="NA"),"NA",IF(AND(E11="",F11=""),"",SUM(E11:G11)))</f>
        <v>11710.690191</v>
      </c>
      <c r="I11" s="89">
        <v>534.19917299999997</v>
      </c>
      <c r="J11" s="89">
        <v>2792.5869419999999</v>
      </c>
      <c r="K11" s="89">
        <v>7403.7591060000004</v>
      </c>
      <c r="L11" s="473">
        <v>0</v>
      </c>
      <c r="M11" s="89">
        <f t="shared" ref="M11:M16" si="6">IF(OR(H11="NA",I11="NA",J11="NA",K11="NA"),"NA",IF(AND(H11="",I11="",J11="",K11=""),"",SUM(H11:L11)))</f>
        <v>22441.235411999998</v>
      </c>
      <c r="N11" s="89">
        <f>H11+I11</f>
        <v>12244.889363999999</v>
      </c>
      <c r="O11" s="546"/>
      <c r="P11" s="178">
        <f t="shared" si="1"/>
        <v>0</v>
      </c>
      <c r="Q11" s="179">
        <f t="shared" si="2"/>
        <v>0</v>
      </c>
    </row>
    <row r="12" spans="1:17" ht="10.35" customHeight="1" x14ac:dyDescent="0.25">
      <c r="A12" s="143" t="s">
        <v>1677</v>
      </c>
      <c r="B12" s="549" t="s">
        <v>1084</v>
      </c>
      <c r="C12" s="602" t="s">
        <v>3007</v>
      </c>
      <c r="D12" s="532" t="s">
        <v>48</v>
      </c>
      <c r="E12" s="89">
        <v>-1707.8176920000001</v>
      </c>
      <c r="F12" s="89">
        <v>48.690702999999999</v>
      </c>
      <c r="G12" s="473">
        <v>0</v>
      </c>
      <c r="H12" s="89">
        <f t="shared" si="5"/>
        <v>-1659.1269890000001</v>
      </c>
      <c r="I12" s="89">
        <v>6.1002879999999999</v>
      </c>
      <c r="J12" s="89">
        <v>57.678728</v>
      </c>
      <c r="K12" s="89">
        <v>42.571241999999998</v>
      </c>
      <c r="L12" s="473">
        <v>0</v>
      </c>
      <c r="M12" s="89">
        <f t="shared" si="6"/>
        <v>-1552.7767309999999</v>
      </c>
      <c r="N12" s="89">
        <f t="shared" ref="N12:N16" si="7">H12+I12</f>
        <v>-1653.026701</v>
      </c>
      <c r="O12" s="546"/>
      <c r="P12" s="178">
        <f t="shared" si="1"/>
        <v>0</v>
      </c>
      <c r="Q12" s="179">
        <f t="shared" si="2"/>
        <v>0</v>
      </c>
    </row>
    <row r="13" spans="1:17" ht="10.35" customHeight="1" x14ac:dyDescent="0.25">
      <c r="A13" s="143" t="s">
        <v>1678</v>
      </c>
      <c r="B13" s="549" t="s">
        <v>1085</v>
      </c>
      <c r="C13" s="602" t="s">
        <v>3008</v>
      </c>
      <c r="D13" s="532" t="s">
        <v>48</v>
      </c>
      <c r="E13" s="89">
        <v>63.519348999999998</v>
      </c>
      <c r="F13" s="89">
        <v>0.12581100000000001</v>
      </c>
      <c r="G13" s="473"/>
      <c r="H13" s="89">
        <f t="shared" si="5"/>
        <v>63.645159999999997</v>
      </c>
      <c r="I13" s="89">
        <v>-1.308079</v>
      </c>
      <c r="J13" s="89">
        <v>1.083148</v>
      </c>
      <c r="K13" s="89">
        <v>17.345946999999999</v>
      </c>
      <c r="L13" s="473">
        <v>0</v>
      </c>
      <c r="M13" s="89">
        <f t="shared" si="6"/>
        <v>80.766176000000002</v>
      </c>
      <c r="N13" s="89">
        <f t="shared" si="7"/>
        <v>62.337080999999998</v>
      </c>
      <c r="O13" s="546"/>
      <c r="P13" s="178">
        <f t="shared" si="1"/>
        <v>0</v>
      </c>
      <c r="Q13" s="179">
        <f t="shared" si="2"/>
        <v>0</v>
      </c>
    </row>
    <row r="14" spans="1:17" ht="10.35" customHeight="1" x14ac:dyDescent="0.25">
      <c r="A14" s="143" t="s">
        <v>2018</v>
      </c>
      <c r="B14" s="549" t="s">
        <v>1086</v>
      </c>
      <c r="C14" s="602" t="s">
        <v>3009</v>
      </c>
      <c r="D14" s="532" t="s">
        <v>48</v>
      </c>
      <c r="E14" s="89">
        <v>0</v>
      </c>
      <c r="F14" s="89">
        <v>0</v>
      </c>
      <c r="G14" s="473">
        <v>0</v>
      </c>
      <c r="H14" s="89">
        <f t="shared" si="5"/>
        <v>0</v>
      </c>
      <c r="I14" s="89">
        <v>0</v>
      </c>
      <c r="J14" s="89">
        <v>0</v>
      </c>
      <c r="K14" s="89">
        <v>0</v>
      </c>
      <c r="L14" s="473">
        <v>0</v>
      </c>
      <c r="M14" s="89">
        <f t="shared" si="6"/>
        <v>0</v>
      </c>
      <c r="N14" s="89">
        <f t="shared" si="7"/>
        <v>0</v>
      </c>
      <c r="O14" s="546"/>
      <c r="P14" s="178">
        <f t="shared" si="1"/>
        <v>0</v>
      </c>
      <c r="Q14" s="179">
        <f t="shared" si="2"/>
        <v>0</v>
      </c>
    </row>
    <row r="15" spans="1:17" ht="15" customHeight="1" x14ac:dyDescent="0.25">
      <c r="A15" s="143" t="s">
        <v>1679</v>
      </c>
      <c r="B15" s="547" t="s">
        <v>1087</v>
      </c>
      <c r="C15" s="601" t="s">
        <v>3010</v>
      </c>
      <c r="D15" s="532" t="s">
        <v>48</v>
      </c>
      <c r="E15" s="90">
        <v>17.39</v>
      </c>
      <c r="F15" s="90">
        <v>117.149</v>
      </c>
      <c r="G15" s="477">
        <v>0</v>
      </c>
      <c r="H15" s="90">
        <f t="shared" si="5"/>
        <v>134.53899999999999</v>
      </c>
      <c r="I15" s="90">
        <v>0.25</v>
      </c>
      <c r="J15" s="90">
        <v>-63.762999999999998</v>
      </c>
      <c r="K15" s="90">
        <v>36.939</v>
      </c>
      <c r="L15" s="477">
        <v>0</v>
      </c>
      <c r="M15" s="90">
        <f t="shared" si="6"/>
        <v>107.96499999999997</v>
      </c>
      <c r="N15" s="90">
        <f t="shared" si="7"/>
        <v>134.78899999999999</v>
      </c>
      <c r="O15" s="546"/>
      <c r="P15" s="178">
        <f t="shared" si="1"/>
        <v>0</v>
      </c>
      <c r="Q15" s="179">
        <f t="shared" si="2"/>
        <v>0</v>
      </c>
    </row>
    <row r="16" spans="1:17" ht="15" customHeight="1" x14ac:dyDescent="0.25">
      <c r="A16" s="143" t="s">
        <v>1680</v>
      </c>
      <c r="B16" s="547" t="s">
        <v>1088</v>
      </c>
      <c r="C16" s="601" t="s">
        <v>3011</v>
      </c>
      <c r="D16" s="532" t="s">
        <v>48</v>
      </c>
      <c r="E16" s="90">
        <v>3.6931630000000268</v>
      </c>
      <c r="F16" s="90">
        <v>91.201966999999996</v>
      </c>
      <c r="G16" s="477">
        <v>0</v>
      </c>
      <c r="H16" s="90">
        <f t="shared" si="5"/>
        <v>94.895130000000023</v>
      </c>
      <c r="I16" s="90">
        <v>0</v>
      </c>
      <c r="J16" s="90">
        <v>132.61603600000001</v>
      </c>
      <c r="K16" s="90">
        <v>168.99916999999999</v>
      </c>
      <c r="L16" s="477">
        <v>0</v>
      </c>
      <c r="M16" s="90">
        <f t="shared" si="6"/>
        <v>396.51033600000005</v>
      </c>
      <c r="N16" s="90">
        <f t="shared" si="7"/>
        <v>94.895130000000023</v>
      </c>
      <c r="O16" s="546"/>
      <c r="P16" s="178">
        <f t="shared" si="1"/>
        <v>0</v>
      </c>
      <c r="Q16" s="179">
        <f t="shared" si="2"/>
        <v>0</v>
      </c>
    </row>
    <row r="17" spans="1:17" ht="15" customHeight="1" x14ac:dyDescent="0.25">
      <c r="A17" s="143" t="s">
        <v>1681</v>
      </c>
      <c r="B17" s="547" t="s">
        <v>1089</v>
      </c>
      <c r="C17" s="601" t="s">
        <v>3012</v>
      </c>
      <c r="D17" s="532" t="s">
        <v>48</v>
      </c>
      <c r="E17" s="90">
        <f t="shared" ref="E17:N17" si="8">IF(OR(E18="NA",E19="NA",E20="NA",E21="NA"),"NA",IF(AND(E18="",E19="",E20="",E21=""),"",SUM(E18:E21)))</f>
        <v>-718.5660690000002</v>
      </c>
      <c r="F17" s="90">
        <f t="shared" si="8"/>
        <v>-387.37805000000003</v>
      </c>
      <c r="G17" s="477">
        <v>0</v>
      </c>
      <c r="H17" s="90">
        <f t="shared" si="8"/>
        <v>-1105.9441190000002</v>
      </c>
      <c r="I17" s="90">
        <f t="shared" si="8"/>
        <v>-9.4972159999999999</v>
      </c>
      <c r="J17" s="90">
        <f t="shared" si="8"/>
        <v>-734.48064499999998</v>
      </c>
      <c r="K17" s="90">
        <f t="shared" si="8"/>
        <v>77.660128999999998</v>
      </c>
      <c r="L17" s="477">
        <v>0</v>
      </c>
      <c r="M17" s="90">
        <f t="shared" si="8"/>
        <v>-1772.2618510000004</v>
      </c>
      <c r="N17" s="90">
        <f t="shared" si="8"/>
        <v>-1115.4413350000002</v>
      </c>
      <c r="O17" s="546"/>
      <c r="P17" s="178">
        <f t="shared" si="1"/>
        <v>0</v>
      </c>
      <c r="Q17" s="179">
        <f t="shared" si="2"/>
        <v>-4.5474735088646412E-13</v>
      </c>
    </row>
    <row r="18" spans="1:17" ht="10.35" customHeight="1" x14ac:dyDescent="0.25">
      <c r="A18" s="143" t="s">
        <v>1682</v>
      </c>
      <c r="B18" s="549" t="s">
        <v>1090</v>
      </c>
      <c r="C18" s="602" t="s">
        <v>3013</v>
      </c>
      <c r="D18" s="532" t="s">
        <v>48</v>
      </c>
      <c r="E18" s="89">
        <v>2601.5185609999999</v>
      </c>
      <c r="F18" s="89">
        <v>-385.80862300000001</v>
      </c>
      <c r="G18" s="473">
        <v>0</v>
      </c>
      <c r="H18" s="89">
        <f>IF(OR(E18="NA",F18="NA"),"NA",IF(AND(E18="",F18=""),"",SUM(E18:G18)))</f>
        <v>2215.709938</v>
      </c>
      <c r="I18" s="89">
        <v>-6.6783780000000004</v>
      </c>
      <c r="J18" s="89">
        <v>-738.99242600000002</v>
      </c>
      <c r="K18" s="89">
        <v>27.467267</v>
      </c>
      <c r="L18" s="473">
        <v>0</v>
      </c>
      <c r="M18" s="89">
        <f>IF(OR(H18="NA",I18="NA",J18="NA",K18="NA"),"NA",IF(AND(H18="",I18="",J18="",K18=""),"",SUM(H18:L18)))</f>
        <v>1497.5064009999999</v>
      </c>
      <c r="N18" s="89">
        <f>H18+I18</f>
        <v>2209.0315599999999</v>
      </c>
      <c r="O18" s="546"/>
      <c r="P18" s="178">
        <f t="shared" si="1"/>
        <v>0</v>
      </c>
      <c r="Q18" s="179">
        <f t="shared" si="2"/>
        <v>0</v>
      </c>
    </row>
    <row r="19" spans="1:17" ht="10.35" customHeight="1" x14ac:dyDescent="0.25">
      <c r="A19" s="143" t="s">
        <v>1683</v>
      </c>
      <c r="B19" s="549" t="s">
        <v>1091</v>
      </c>
      <c r="C19" s="602" t="s">
        <v>3014</v>
      </c>
      <c r="D19" s="532" t="s">
        <v>48</v>
      </c>
      <c r="E19" s="89">
        <v>-4448.0360190000001</v>
      </c>
      <c r="F19" s="89">
        <v>0</v>
      </c>
      <c r="G19" s="473">
        <v>0</v>
      </c>
      <c r="H19" s="89">
        <f>IF(OR(E19="NA",F19="NA"),"NA",IF(AND(E19="",F19=""),"",SUM(E19:G19)))</f>
        <v>-4448.0360190000001</v>
      </c>
      <c r="I19" s="89">
        <v>0</v>
      </c>
      <c r="J19" s="89">
        <v>0</v>
      </c>
      <c r="K19" s="89">
        <v>-7.7942369999999999</v>
      </c>
      <c r="L19" s="473">
        <v>0</v>
      </c>
      <c r="M19" s="89">
        <f>IF(OR(H19="NA",I19="NA",J19="NA",K19="NA"),"NA",IF(AND(H19="",I19="",J19="",K19=""),"",SUM(H19:L19)))</f>
        <v>-4455.8302560000002</v>
      </c>
      <c r="N19" s="89">
        <f t="shared" ref="N19:N21" si="9">H19+I19</f>
        <v>-4448.0360190000001</v>
      </c>
      <c r="O19" s="546"/>
      <c r="P19" s="178">
        <f t="shared" si="1"/>
        <v>0</v>
      </c>
      <c r="Q19" s="179">
        <f t="shared" si="2"/>
        <v>0</v>
      </c>
    </row>
    <row r="20" spans="1:17" ht="10.35" customHeight="1" x14ac:dyDescent="0.25">
      <c r="A20" s="143" t="s">
        <v>1684</v>
      </c>
      <c r="B20" s="549" t="s">
        <v>1092</v>
      </c>
      <c r="C20" s="602" t="s">
        <v>3015</v>
      </c>
      <c r="D20" s="532" t="s">
        <v>48</v>
      </c>
      <c r="E20" s="89">
        <v>981.86526000000003</v>
      </c>
      <c r="F20" s="89">
        <v>0</v>
      </c>
      <c r="G20" s="473">
        <v>0</v>
      </c>
      <c r="H20" s="89">
        <f>IF(OR(E20="NA",F20="NA"),"NA",IF(AND(E20="",F20=""),"",SUM(E20:G20)))</f>
        <v>981.86526000000003</v>
      </c>
      <c r="I20" s="89">
        <v>0</v>
      </c>
      <c r="J20" s="89">
        <v>0</v>
      </c>
      <c r="K20" s="89">
        <v>-7.0246000000000003E-2</v>
      </c>
      <c r="L20" s="473">
        <v>0</v>
      </c>
      <c r="M20" s="89">
        <f>IF(OR(H20="NA",I20="NA",J20="NA",K20="NA"),"NA",IF(AND(H20="",I20="",J20="",K20=""),"",SUM(H20:L20)))</f>
        <v>981.79501400000004</v>
      </c>
      <c r="N20" s="89">
        <f t="shared" si="9"/>
        <v>981.86526000000003</v>
      </c>
      <c r="O20" s="546"/>
      <c r="P20" s="178">
        <f t="shared" si="1"/>
        <v>0</v>
      </c>
      <c r="Q20" s="179">
        <f t="shared" si="2"/>
        <v>0</v>
      </c>
    </row>
    <row r="21" spans="1:17" ht="10.35" customHeight="1" x14ac:dyDescent="0.25">
      <c r="A21" s="143" t="s">
        <v>1685</v>
      </c>
      <c r="B21" s="549" t="s">
        <v>1093</v>
      </c>
      <c r="C21" s="602" t="s">
        <v>3016</v>
      </c>
      <c r="D21" s="532" t="s">
        <v>48</v>
      </c>
      <c r="E21" s="89">
        <v>146.086129</v>
      </c>
      <c r="F21" s="89">
        <v>-1.5694269999999999</v>
      </c>
      <c r="G21" s="473">
        <v>0</v>
      </c>
      <c r="H21" s="89">
        <f>IF(OR(E21="NA",F21="NA"),"NA",IF(AND(E21="",F21=""),"",SUM(E21:G21)))</f>
        <v>144.51670200000001</v>
      </c>
      <c r="I21" s="89">
        <v>-2.818838</v>
      </c>
      <c r="J21" s="89">
        <v>4.511781</v>
      </c>
      <c r="K21" s="89">
        <v>58.057344999999998</v>
      </c>
      <c r="L21" s="473">
        <v>0</v>
      </c>
      <c r="M21" s="89">
        <f>IF(OR(H21="NA",I21="NA",J21="NA",K21="NA"),"NA",IF(AND(H21="",I21="",J21="",K21=""),"",SUM(H21:L21)))</f>
        <v>204.26699000000002</v>
      </c>
      <c r="N21" s="89">
        <f t="shared" si="9"/>
        <v>141.69786400000001</v>
      </c>
      <c r="O21" s="546"/>
      <c r="P21" s="178">
        <f t="shared" si="1"/>
        <v>0</v>
      </c>
      <c r="Q21" s="179">
        <f t="shared" si="2"/>
        <v>0</v>
      </c>
    </row>
    <row r="22" spans="1:17" ht="15" customHeight="1" x14ac:dyDescent="0.25">
      <c r="A22" s="143" t="s">
        <v>1686</v>
      </c>
      <c r="B22" s="594" t="s">
        <v>1094</v>
      </c>
      <c r="C22" s="595" t="s">
        <v>3017</v>
      </c>
      <c r="D22" s="586" t="s">
        <v>48</v>
      </c>
      <c r="E22" s="145">
        <f>IF(OR(E23="NA",E24="NA",E25="NA",E26="NA",E27="NA",E28="NA",E29="NA"),"NA",IF(AND(E24="",E25="",E26="",E27="",E28="",E29="",E30=""),"",SUM(E23:E30)))</f>
        <v>40146.564456074004</v>
      </c>
      <c r="F22" s="145">
        <f t="shared" ref="F22:L22" si="10">IF(OR(F24="NA",F25="NA",F26="NA",F27="NA",F28="NA",F29="NA"),"NA",IF(AND(F24="",F25="",F26="",F27="",F28="",F29="",F30=""),"",SUM(F23:F30)))</f>
        <v>290.27115099999992</v>
      </c>
      <c r="G22" s="145">
        <f t="shared" si="10"/>
        <v>-1913.3820000000001</v>
      </c>
      <c r="H22" s="145">
        <f>IF(OR(H23="NA",H24="NA",H25="NA",H26="NA",H27="NA",H28="NA",H29="NA"),"NA",IF(AND(H24="",H25="",H26="",H27="",H28="",H29="",H30=""),"",SUM(H23:H30)))</f>
        <v>38523.453607074</v>
      </c>
      <c r="I22" s="145">
        <f t="shared" si="10"/>
        <v>158.349377</v>
      </c>
      <c r="J22" s="145">
        <f t="shared" si="10"/>
        <v>3765.364959172</v>
      </c>
      <c r="K22" s="145">
        <f t="shared" si="10"/>
        <v>10251.060048019999</v>
      </c>
      <c r="L22" s="145">
        <f t="shared" si="10"/>
        <v>-844.96100000000001</v>
      </c>
      <c r="M22" s="145">
        <f>IF(OR(M23="NA",M24="NA",M25="NA",M26="NA",M27="NA",M28="NA",M29="NA"),"NA",IF(AND(M24="",M25="",M26="",M27="",M28="",M29="",M30=""),"",SUM(M23:M30)))</f>
        <v>51853.266991265999</v>
      </c>
      <c r="N22" s="145">
        <f>IF(OR(N23="NA",N24="NA",N25="NA",N26="NA",N27="NA",N28="NA",N29="NA"),"NA",IF(AND(N24="",N25="",N26="",N27="",N28="",N29="",N30=""),"",SUM(N23:N30)))</f>
        <v>38681.802984073998</v>
      </c>
      <c r="O22" s="546"/>
      <c r="P22" s="237">
        <f t="shared" si="1"/>
        <v>-7.2759576141834259E-12</v>
      </c>
      <c r="Q22" s="238">
        <f t="shared" si="2"/>
        <v>0</v>
      </c>
    </row>
    <row r="23" spans="1:17" ht="12.2" customHeight="1" x14ac:dyDescent="0.25">
      <c r="A23" s="143" t="s">
        <v>1687</v>
      </c>
      <c r="B23" s="549" t="s">
        <v>146</v>
      </c>
      <c r="C23" s="550" t="s">
        <v>3018</v>
      </c>
      <c r="D23" s="532" t="s">
        <v>48</v>
      </c>
      <c r="E23" s="92">
        <f>IF(OR(E41="NA"),"NA",IF(AND(E41=""),"",SUM(E32)+SUM(E41)))</f>
        <v>0</v>
      </c>
      <c r="F23" s="473">
        <v>0</v>
      </c>
      <c r="G23" s="473">
        <v>0</v>
      </c>
      <c r="H23" s="92">
        <f>IF(OR(H41="NA"),"NA",IF(AND(H41=""),"",SUM(H32)+SUM(H41)))</f>
        <v>0</v>
      </c>
      <c r="I23" s="473">
        <v>0</v>
      </c>
      <c r="J23" s="473">
        <v>0</v>
      </c>
      <c r="K23" s="473">
        <v>0</v>
      </c>
      <c r="L23" s="473">
        <v>0</v>
      </c>
      <c r="M23" s="92">
        <f>IF(OR(M41="NA"),"NA",IF(AND(M41=""),"",SUM(M32)+SUM(M41)))</f>
        <v>0</v>
      </c>
      <c r="N23" s="92">
        <f>IF(OR(N41="NA"),"NA",IF(AND(N41=""),"",SUM(N32)+SUM(N41)))</f>
        <v>0</v>
      </c>
      <c r="O23" s="546"/>
      <c r="P23" s="178">
        <f t="shared" si="1"/>
        <v>0</v>
      </c>
      <c r="Q23" s="179">
        <f t="shared" si="2"/>
        <v>0</v>
      </c>
    </row>
    <row r="24" spans="1:17" s="270" customFormat="1" ht="10.35" customHeight="1" x14ac:dyDescent="0.25">
      <c r="A24" s="143" t="s">
        <v>1688</v>
      </c>
      <c r="B24" s="549" t="s">
        <v>1095</v>
      </c>
      <c r="C24" s="550" t="s">
        <v>3019</v>
      </c>
      <c r="D24" s="532" t="s">
        <v>48</v>
      </c>
      <c r="E24" s="89">
        <f t="shared" ref="E24:N29" si="11">IF(OR(E33="NA",E42="NA"),"NA",IF(AND(E33="",E42=""),"",SUM(E33)+SUM(E42)))</f>
        <v>9266.1172290000013</v>
      </c>
      <c r="F24" s="89">
        <f t="shared" si="11"/>
        <v>-78.120576</v>
      </c>
      <c r="G24" s="89">
        <v>-135.16399999999999</v>
      </c>
      <c r="H24" s="89">
        <f t="shared" si="11"/>
        <v>9052.8326529999995</v>
      </c>
      <c r="I24" s="89">
        <f t="shared" si="11"/>
        <v>135.164095</v>
      </c>
      <c r="J24" s="89">
        <f t="shared" si="11"/>
        <v>84.366426000000004</v>
      </c>
      <c r="K24" s="89">
        <f t="shared" si="11"/>
        <v>2250.4630350000002</v>
      </c>
      <c r="L24" s="89">
        <v>0</v>
      </c>
      <c r="M24" s="89">
        <f t="shared" si="11"/>
        <v>11522.826209000001</v>
      </c>
      <c r="N24" s="89">
        <f t="shared" si="11"/>
        <v>9187.9967479999996</v>
      </c>
      <c r="O24" s="546"/>
      <c r="P24" s="178">
        <f t="shared" si="1"/>
        <v>-1.8189894035458565E-12</v>
      </c>
      <c r="Q24" s="179">
        <f t="shared" si="2"/>
        <v>0</v>
      </c>
    </row>
    <row r="25" spans="1:17" s="270" customFormat="1" ht="10.35" customHeight="1" x14ac:dyDescent="0.25">
      <c r="A25" s="143" t="s">
        <v>1689</v>
      </c>
      <c r="B25" s="549" t="s">
        <v>1096</v>
      </c>
      <c r="C25" s="550" t="s">
        <v>3020</v>
      </c>
      <c r="D25" s="532" t="s">
        <v>48</v>
      </c>
      <c r="E25" s="89">
        <f t="shared" si="11"/>
        <v>3449.7799029999996</v>
      </c>
      <c r="F25" s="89">
        <f t="shared" si="11"/>
        <v>747.67860599999995</v>
      </c>
      <c r="G25" s="89">
        <v>0</v>
      </c>
      <c r="H25" s="89">
        <f t="shared" si="11"/>
        <v>4197.458509</v>
      </c>
      <c r="I25" s="89">
        <f t="shared" si="11"/>
        <v>-192.22703899999999</v>
      </c>
      <c r="J25" s="89">
        <f t="shared" si="11"/>
        <v>163.15885800000001</v>
      </c>
      <c r="K25" s="89">
        <f t="shared" si="11"/>
        <v>696.93014500000004</v>
      </c>
      <c r="L25" s="89">
        <v>-135.70099999999999</v>
      </c>
      <c r="M25" s="89">
        <f t="shared" si="11"/>
        <v>4729.6194729999997</v>
      </c>
      <c r="N25" s="89">
        <f t="shared" si="11"/>
        <v>4005.2314699999997</v>
      </c>
      <c r="O25" s="546"/>
      <c r="P25" s="178">
        <f t="shared" si="1"/>
        <v>0</v>
      </c>
      <c r="Q25" s="179">
        <f t="shared" si="2"/>
        <v>-9.0949470177292824E-13</v>
      </c>
    </row>
    <row r="26" spans="1:17" s="270" customFormat="1" ht="10.35" customHeight="1" x14ac:dyDescent="0.25">
      <c r="A26" s="143" t="s">
        <v>1690</v>
      </c>
      <c r="B26" s="549" t="s">
        <v>1097</v>
      </c>
      <c r="C26" s="550" t="s">
        <v>3021</v>
      </c>
      <c r="D26" s="532" t="s">
        <v>48</v>
      </c>
      <c r="E26" s="89">
        <f t="shared" si="11"/>
        <v>1522.4205570000001</v>
      </c>
      <c r="F26" s="89">
        <f t="shared" si="11"/>
        <v>-10.517555999999999</v>
      </c>
      <c r="G26" s="89">
        <v>0</v>
      </c>
      <c r="H26" s="89">
        <f t="shared" si="11"/>
        <v>1511.9030010000001</v>
      </c>
      <c r="I26" s="89">
        <f t="shared" si="11"/>
        <v>0.221669</v>
      </c>
      <c r="J26" s="89">
        <f t="shared" si="11"/>
        <v>-116.16445300000001</v>
      </c>
      <c r="K26" s="89">
        <f t="shared" si="11"/>
        <v>43.335560999999998</v>
      </c>
      <c r="L26" s="89">
        <v>0</v>
      </c>
      <c r="M26" s="89">
        <f t="shared" si="11"/>
        <v>1439.2957779999999</v>
      </c>
      <c r="N26" s="89">
        <f t="shared" si="11"/>
        <v>1512.1246700000002</v>
      </c>
      <c r="O26" s="546"/>
      <c r="P26" s="178">
        <f t="shared" si="1"/>
        <v>0</v>
      </c>
      <c r="Q26" s="179">
        <f t="shared" si="2"/>
        <v>-2.2737367544323206E-13</v>
      </c>
    </row>
    <row r="27" spans="1:17" s="270" customFormat="1" ht="10.35" customHeight="1" x14ac:dyDescent="0.25">
      <c r="A27" s="143" t="s">
        <v>1691</v>
      </c>
      <c r="B27" s="549" t="s">
        <v>1098</v>
      </c>
      <c r="C27" s="550" t="s">
        <v>3022</v>
      </c>
      <c r="D27" s="532" t="s">
        <v>48</v>
      </c>
      <c r="E27" s="89">
        <f t="shared" si="11"/>
        <v>10244.325999074001</v>
      </c>
      <c r="F27" s="89">
        <f t="shared" si="11"/>
        <v>132.11548500000001</v>
      </c>
      <c r="G27" s="89">
        <v>0</v>
      </c>
      <c r="H27" s="89">
        <f t="shared" si="11"/>
        <v>10376.441484074001</v>
      </c>
      <c r="I27" s="89">
        <f t="shared" si="11"/>
        <v>-660.54984300000001</v>
      </c>
      <c r="J27" s="89">
        <f t="shared" si="11"/>
        <v>191.252174172</v>
      </c>
      <c r="K27" s="89">
        <f t="shared" si="11"/>
        <v>140.92658402000001</v>
      </c>
      <c r="L27" s="89">
        <v>-708.83399999999995</v>
      </c>
      <c r="M27" s="89">
        <f t="shared" si="11"/>
        <v>9339.2363992659994</v>
      </c>
      <c r="N27" s="89">
        <f t="shared" si="11"/>
        <v>9715.8916410740003</v>
      </c>
      <c r="O27" s="546"/>
      <c r="P27" s="178">
        <f t="shared" si="1"/>
        <v>0</v>
      </c>
      <c r="Q27" s="179">
        <f t="shared" si="2"/>
        <v>0</v>
      </c>
    </row>
    <row r="28" spans="1:17" s="270" customFormat="1" ht="10.35" customHeight="1" x14ac:dyDescent="0.25">
      <c r="A28" s="143" t="s">
        <v>1692</v>
      </c>
      <c r="B28" s="549" t="s">
        <v>1099</v>
      </c>
      <c r="C28" s="550" t="s">
        <v>3023</v>
      </c>
      <c r="D28" s="532" t="s">
        <v>48</v>
      </c>
      <c r="E28" s="89">
        <f t="shared" si="11"/>
        <v>-38.149270999999999</v>
      </c>
      <c r="F28" s="89">
        <f t="shared" si="11"/>
        <v>-0.75899700000000003</v>
      </c>
      <c r="G28" s="89">
        <v>0</v>
      </c>
      <c r="H28" s="89">
        <f t="shared" si="11"/>
        <v>-38.908268</v>
      </c>
      <c r="I28" s="89">
        <f t="shared" si="11"/>
        <v>-0.426454</v>
      </c>
      <c r="J28" s="89">
        <f t="shared" si="11"/>
        <v>-3.4368999999999997E-2</v>
      </c>
      <c r="K28" s="89">
        <f t="shared" si="11"/>
        <v>12.320148</v>
      </c>
      <c r="L28" s="89">
        <v>-0.42599999999999999</v>
      </c>
      <c r="M28" s="89">
        <f t="shared" si="11"/>
        <v>-27.474942999999996</v>
      </c>
      <c r="N28" s="89">
        <f t="shared" si="11"/>
        <v>-39.334721999999999</v>
      </c>
      <c r="O28" s="546"/>
      <c r="P28" s="178">
        <f t="shared" si="1"/>
        <v>0</v>
      </c>
      <c r="Q28" s="179">
        <f t="shared" si="2"/>
        <v>0</v>
      </c>
    </row>
    <row r="29" spans="1:17" s="270" customFormat="1" ht="10.35" customHeight="1" x14ac:dyDescent="0.25">
      <c r="A29" s="143" t="s">
        <v>1693</v>
      </c>
      <c r="B29" s="549" t="s">
        <v>1100</v>
      </c>
      <c r="C29" s="550" t="s">
        <v>3024</v>
      </c>
      <c r="D29" s="532" t="s">
        <v>48</v>
      </c>
      <c r="E29" s="89">
        <f t="shared" si="11"/>
        <v>-69.768788999999998</v>
      </c>
      <c r="F29" s="89">
        <f t="shared" si="11"/>
        <v>0</v>
      </c>
      <c r="G29" s="89">
        <v>0</v>
      </c>
      <c r="H29" s="89">
        <f t="shared" si="11"/>
        <v>-69.768788999999998</v>
      </c>
      <c r="I29" s="89">
        <f t="shared" si="11"/>
        <v>0</v>
      </c>
      <c r="J29" s="89">
        <f t="shared" si="11"/>
        <v>-5.425E-2</v>
      </c>
      <c r="K29" s="89">
        <f t="shared" si="11"/>
        <v>0</v>
      </c>
      <c r="L29" s="89">
        <v>0</v>
      </c>
      <c r="M29" s="89">
        <f t="shared" si="11"/>
        <v>-69.823038999999994</v>
      </c>
      <c r="N29" s="89">
        <f t="shared" si="11"/>
        <v>-69.768788999999998</v>
      </c>
      <c r="O29" s="546"/>
      <c r="P29" s="178">
        <f t="shared" si="1"/>
        <v>0</v>
      </c>
      <c r="Q29" s="179">
        <f t="shared" si="2"/>
        <v>0</v>
      </c>
    </row>
    <row r="30" spans="1:17" s="270" customFormat="1" ht="10.35" customHeight="1" x14ac:dyDescent="0.25">
      <c r="A30" s="143" t="s">
        <v>1694</v>
      </c>
      <c r="B30" s="549" t="s">
        <v>1101</v>
      </c>
      <c r="C30" s="550" t="s">
        <v>3025</v>
      </c>
      <c r="D30" s="532" t="s">
        <v>48</v>
      </c>
      <c r="E30" s="89">
        <f t="shared" ref="E30:N30" si="12">IF(AND(E39="",E48=""),"",SUM(E39)+SUM(E48))</f>
        <v>15771.838828</v>
      </c>
      <c r="F30" s="89">
        <f t="shared" si="12"/>
        <v>-500.125811</v>
      </c>
      <c r="G30" s="89">
        <v>-1778.2180000000001</v>
      </c>
      <c r="H30" s="89">
        <f t="shared" si="12"/>
        <v>13493.495016999997</v>
      </c>
      <c r="I30" s="89">
        <f t="shared" si="12"/>
        <v>876.16694900000005</v>
      </c>
      <c r="J30" s="89">
        <f t="shared" si="12"/>
        <v>3442.8405729999999</v>
      </c>
      <c r="K30" s="89">
        <f t="shared" si="12"/>
        <v>7107.0845749999999</v>
      </c>
      <c r="L30" s="750">
        <v>0</v>
      </c>
      <c r="M30" s="89">
        <f t="shared" si="12"/>
        <v>24919.587113999998</v>
      </c>
      <c r="N30" s="89">
        <f t="shared" si="12"/>
        <v>14369.661965999998</v>
      </c>
      <c r="O30" s="546"/>
      <c r="P30" s="178">
        <f t="shared" si="1"/>
        <v>-1.8189894035458565E-12</v>
      </c>
      <c r="Q30" s="179">
        <f t="shared" si="2"/>
        <v>0</v>
      </c>
    </row>
    <row r="31" spans="1:17" ht="15" customHeight="1" x14ac:dyDescent="0.25">
      <c r="A31" s="143" t="s">
        <v>1695</v>
      </c>
      <c r="B31" s="547" t="s">
        <v>1102</v>
      </c>
      <c r="C31" s="601" t="s">
        <v>3026</v>
      </c>
      <c r="D31" s="532" t="s">
        <v>48</v>
      </c>
      <c r="E31" s="89">
        <f t="shared" ref="E31:N31" si="13">IF(OR(E33="NA",E34="NA",E35="NA",E36="NA",E37="NA",E38="NA",),"NA",IF(AND(E33="",E34="",E35="",E36="",E37="",E38="",E39=""),"",SUM(E32:E39)))</f>
        <v>40259.537151074001</v>
      </c>
      <c r="F31" s="89">
        <f t="shared" si="13"/>
        <v>272.77400299999994</v>
      </c>
      <c r="G31" s="488">
        <f>IF(+G22="","",+G22)</f>
        <v>-1913.3820000000001</v>
      </c>
      <c r="H31" s="89">
        <f t="shared" si="13"/>
        <v>38618.929154073994</v>
      </c>
      <c r="I31" s="89">
        <f t="shared" si="13"/>
        <v>158.349377</v>
      </c>
      <c r="J31" s="89">
        <f t="shared" si="13"/>
        <v>3822.8358121719998</v>
      </c>
      <c r="K31" s="89">
        <f t="shared" si="13"/>
        <v>10260.102753020001</v>
      </c>
      <c r="L31" s="488">
        <f>IF(+L22="","",+L22)</f>
        <v>-844.96100000000001</v>
      </c>
      <c r="M31" s="89">
        <f t="shared" si="13"/>
        <v>52015.256096265999</v>
      </c>
      <c r="N31" s="89">
        <f t="shared" si="13"/>
        <v>38777.278531074</v>
      </c>
      <c r="O31" s="546"/>
      <c r="P31" s="178">
        <f t="shared" si="1"/>
        <v>-7.2759576141834259E-12</v>
      </c>
      <c r="Q31" s="179">
        <f t="shared" si="2"/>
        <v>7.2759576141834259E-12</v>
      </c>
    </row>
    <row r="32" spans="1:17" s="271" customFormat="1" ht="10.35" customHeight="1" x14ac:dyDescent="0.25">
      <c r="A32" s="143" t="s">
        <v>2019</v>
      </c>
      <c r="B32" s="549" t="s">
        <v>1103</v>
      </c>
      <c r="C32" s="602" t="s">
        <v>3027</v>
      </c>
      <c r="D32" s="532" t="s">
        <v>48</v>
      </c>
      <c r="E32" s="473">
        <v>0</v>
      </c>
      <c r="F32" s="473">
        <v>0</v>
      </c>
      <c r="G32" s="473">
        <v>0</v>
      </c>
      <c r="H32" s="473">
        <v>0</v>
      </c>
      <c r="I32" s="473">
        <v>0</v>
      </c>
      <c r="J32" s="473">
        <v>0</v>
      </c>
      <c r="K32" s="473">
        <v>0</v>
      </c>
      <c r="L32" s="473">
        <v>0</v>
      </c>
      <c r="M32" s="473">
        <v>0</v>
      </c>
      <c r="N32" s="473">
        <v>0</v>
      </c>
      <c r="O32" s="546"/>
      <c r="P32" s="178">
        <f t="shared" si="1"/>
        <v>0</v>
      </c>
      <c r="Q32" s="179">
        <f t="shared" si="2"/>
        <v>0</v>
      </c>
    </row>
    <row r="33" spans="1:17" ht="10.35" customHeight="1" x14ac:dyDescent="0.25">
      <c r="A33" s="143" t="s">
        <v>1696</v>
      </c>
      <c r="B33" s="549" t="s">
        <v>1104</v>
      </c>
      <c r="C33" s="602" t="s">
        <v>3028</v>
      </c>
      <c r="D33" s="532" t="s">
        <v>48</v>
      </c>
      <c r="E33" s="89">
        <v>8939.8700000000008</v>
      </c>
      <c r="F33" s="89">
        <v>-91.983999999999995</v>
      </c>
      <c r="G33" s="475">
        <f>IF(+G24="","",+G24)</f>
        <v>-135.16399999999999</v>
      </c>
      <c r="H33" s="89">
        <f t="shared" ref="H33:H39" si="14">IF(OR(E33="NA",F33="NA",G33="NA"),"NA",IF(AND(E33="",F33="",G33=""),"",SUM(E33:G33)))</f>
        <v>8712.7219999999998</v>
      </c>
      <c r="I33" s="89">
        <v>135.164095</v>
      </c>
      <c r="J33" s="89">
        <v>73.633390000000006</v>
      </c>
      <c r="K33" s="89">
        <v>2250.041768</v>
      </c>
      <c r="L33" s="475">
        <f>IF(+L24="","",+L24)</f>
        <v>0</v>
      </c>
      <c r="M33" s="89">
        <f t="shared" ref="M33:M39" si="15">IF(OR(H33="NA",I33="NA",J33="NA",K33="NA",L33="NA"),"NA",IF(AND(H33="",I33="",J33="",K33="",L33=""),"",SUM(H33:L33)))</f>
        <v>11171.561253</v>
      </c>
      <c r="N33" s="89">
        <f>H33+I33</f>
        <v>8847.8860949999998</v>
      </c>
      <c r="O33" s="546"/>
      <c r="P33" s="178">
        <f t="shared" si="1"/>
        <v>0</v>
      </c>
      <c r="Q33" s="179">
        <f t="shared" si="2"/>
        <v>0</v>
      </c>
    </row>
    <row r="34" spans="1:17" ht="10.35" customHeight="1" x14ac:dyDescent="0.25">
      <c r="A34" s="143" t="s">
        <v>1697</v>
      </c>
      <c r="B34" s="549" t="s">
        <v>1105</v>
      </c>
      <c r="C34" s="602" t="s">
        <v>3029</v>
      </c>
      <c r="D34" s="532" t="s">
        <v>48</v>
      </c>
      <c r="E34" s="89">
        <v>3708.3768989999999</v>
      </c>
      <c r="F34" s="89">
        <v>744.04819999999995</v>
      </c>
      <c r="G34" s="475">
        <f t="shared" ref="G34:G39" si="16">IF(+G25="","",+G25)</f>
        <v>0</v>
      </c>
      <c r="H34" s="89">
        <f t="shared" si="14"/>
        <v>4452.425099</v>
      </c>
      <c r="I34" s="89">
        <v>-192.22703899999999</v>
      </c>
      <c r="J34" s="89">
        <v>163.15885800000001</v>
      </c>
      <c r="K34" s="89">
        <v>696.93014500000004</v>
      </c>
      <c r="L34" s="475">
        <f t="shared" ref="L34:L39" si="17">IF(+L25="","",+L25)</f>
        <v>-135.70099999999999</v>
      </c>
      <c r="M34" s="89">
        <f t="shared" si="15"/>
        <v>4984.5860629999997</v>
      </c>
      <c r="N34" s="89">
        <f t="shared" ref="N34:N39" si="18">H34+I34</f>
        <v>4260.1980599999997</v>
      </c>
      <c r="O34" s="546"/>
      <c r="P34" s="178">
        <f t="shared" si="1"/>
        <v>0</v>
      </c>
      <c r="Q34" s="179">
        <f t="shared" si="2"/>
        <v>0</v>
      </c>
    </row>
    <row r="35" spans="1:17" ht="10.35" customHeight="1" x14ac:dyDescent="0.25">
      <c r="A35" s="143" t="s">
        <v>1698</v>
      </c>
      <c r="B35" s="549" t="s">
        <v>1106</v>
      </c>
      <c r="C35" s="602" t="s">
        <v>3030</v>
      </c>
      <c r="D35" s="532" t="s">
        <v>48</v>
      </c>
      <c r="E35" s="89">
        <v>2011.2074130000001</v>
      </c>
      <c r="F35" s="89">
        <v>-10.500275999999999</v>
      </c>
      <c r="G35" s="475">
        <f t="shared" si="16"/>
        <v>0</v>
      </c>
      <c r="H35" s="89">
        <f t="shared" si="14"/>
        <v>2000.7071370000001</v>
      </c>
      <c r="I35" s="89">
        <v>0.221669</v>
      </c>
      <c r="J35" s="89">
        <v>-47.960563999999998</v>
      </c>
      <c r="K35" s="89">
        <v>96.312421000000001</v>
      </c>
      <c r="L35" s="475">
        <f t="shared" si="17"/>
        <v>0</v>
      </c>
      <c r="M35" s="89">
        <f t="shared" si="15"/>
        <v>2049.280663</v>
      </c>
      <c r="N35" s="89">
        <f t="shared" si="18"/>
        <v>2000.9288060000001</v>
      </c>
      <c r="O35" s="546"/>
      <c r="P35" s="178">
        <f t="shared" si="1"/>
        <v>0</v>
      </c>
      <c r="Q35" s="179">
        <f t="shared" si="2"/>
        <v>0</v>
      </c>
    </row>
    <row r="36" spans="1:17" ht="10.35" customHeight="1" x14ac:dyDescent="0.25">
      <c r="A36" s="143" t="s">
        <v>1699</v>
      </c>
      <c r="B36" s="549" t="s">
        <v>1107</v>
      </c>
      <c r="C36" s="602" t="s">
        <v>3031</v>
      </c>
      <c r="D36" s="532" t="s">
        <v>48</v>
      </c>
      <c r="E36" s="89">
        <v>9938.1600560740007</v>
      </c>
      <c r="F36" s="89">
        <v>132.11548500000001</v>
      </c>
      <c r="G36" s="475">
        <f t="shared" si="16"/>
        <v>0</v>
      </c>
      <c r="H36" s="89">
        <f t="shared" si="14"/>
        <v>10070.275541074001</v>
      </c>
      <c r="I36" s="89">
        <v>-660.54984300000001</v>
      </c>
      <c r="J36" s="89">
        <v>191.252174172</v>
      </c>
      <c r="K36" s="89">
        <v>140.92658402000001</v>
      </c>
      <c r="L36" s="475">
        <f t="shared" si="17"/>
        <v>-708.83399999999995</v>
      </c>
      <c r="M36" s="89">
        <f t="shared" si="15"/>
        <v>9033.0704562659994</v>
      </c>
      <c r="N36" s="89">
        <f t="shared" si="18"/>
        <v>9409.7256980740003</v>
      </c>
      <c r="O36" s="546"/>
      <c r="P36" s="178">
        <f t="shared" si="1"/>
        <v>0</v>
      </c>
      <c r="Q36" s="179">
        <f t="shared" si="2"/>
        <v>0</v>
      </c>
    </row>
    <row r="37" spans="1:17" ht="10.35" customHeight="1" x14ac:dyDescent="0.25">
      <c r="A37" s="143" t="s">
        <v>1700</v>
      </c>
      <c r="B37" s="549" t="s">
        <v>1108</v>
      </c>
      <c r="C37" s="602" t="s">
        <v>3032</v>
      </c>
      <c r="D37" s="532" t="s">
        <v>48</v>
      </c>
      <c r="E37" s="89">
        <v>-38.149270999999999</v>
      </c>
      <c r="F37" s="89">
        <v>-0.75899700000000003</v>
      </c>
      <c r="G37" s="475">
        <f t="shared" si="16"/>
        <v>0</v>
      </c>
      <c r="H37" s="89">
        <f t="shared" si="14"/>
        <v>-38.908268</v>
      </c>
      <c r="I37" s="89">
        <v>-0.426454</v>
      </c>
      <c r="J37" s="89">
        <v>-3.4368999999999997E-2</v>
      </c>
      <c r="K37" s="89">
        <v>12.320148</v>
      </c>
      <c r="L37" s="475">
        <f t="shared" si="17"/>
        <v>-0.42599999999999999</v>
      </c>
      <c r="M37" s="89">
        <f t="shared" si="15"/>
        <v>-27.474942999999996</v>
      </c>
      <c r="N37" s="89">
        <f t="shared" si="18"/>
        <v>-39.334721999999999</v>
      </c>
      <c r="O37" s="546"/>
      <c r="P37" s="178">
        <f t="shared" si="1"/>
        <v>0</v>
      </c>
      <c r="Q37" s="179">
        <f t="shared" si="2"/>
        <v>0</v>
      </c>
    </row>
    <row r="38" spans="1:17" ht="10.35" customHeight="1" x14ac:dyDescent="0.25">
      <c r="A38" s="143" t="s">
        <v>1701</v>
      </c>
      <c r="B38" s="549" t="s">
        <v>1109</v>
      </c>
      <c r="C38" s="602" t="s">
        <v>3033</v>
      </c>
      <c r="D38" s="532" t="s">
        <v>48</v>
      </c>
      <c r="E38" s="89">
        <v>-69.768788999999998</v>
      </c>
      <c r="F38" s="89">
        <v>0</v>
      </c>
      <c r="G38" s="475">
        <f t="shared" si="16"/>
        <v>0</v>
      </c>
      <c r="H38" s="89">
        <f t="shared" si="14"/>
        <v>-69.768788999999998</v>
      </c>
      <c r="I38" s="89">
        <v>0</v>
      </c>
      <c r="J38" s="89">
        <v>-5.425E-2</v>
      </c>
      <c r="K38" s="89">
        <v>0</v>
      </c>
      <c r="L38" s="475">
        <f t="shared" si="17"/>
        <v>0</v>
      </c>
      <c r="M38" s="89">
        <f t="shared" si="15"/>
        <v>-69.823038999999994</v>
      </c>
      <c r="N38" s="89">
        <f t="shared" si="18"/>
        <v>-69.768788999999998</v>
      </c>
      <c r="O38" s="546"/>
      <c r="P38" s="178">
        <f t="shared" si="1"/>
        <v>0</v>
      </c>
      <c r="Q38" s="179">
        <f t="shared" si="2"/>
        <v>0</v>
      </c>
    </row>
    <row r="39" spans="1:17" ht="10.35" customHeight="1" x14ac:dyDescent="0.25">
      <c r="A39" s="143" t="s">
        <v>1702</v>
      </c>
      <c r="B39" s="549" t="s">
        <v>1110</v>
      </c>
      <c r="C39" s="602" t="s">
        <v>3034</v>
      </c>
      <c r="D39" s="532" t="s">
        <v>48</v>
      </c>
      <c r="E39" s="89">
        <v>15769.840843</v>
      </c>
      <c r="F39" s="89">
        <v>-500.14640900000001</v>
      </c>
      <c r="G39" s="475">
        <f t="shared" si="16"/>
        <v>-1778.2180000000001</v>
      </c>
      <c r="H39" s="89">
        <f t="shared" si="14"/>
        <v>13491.476433999998</v>
      </c>
      <c r="I39" s="89">
        <v>876.16694900000005</v>
      </c>
      <c r="J39" s="89">
        <v>3442.8405729999999</v>
      </c>
      <c r="K39" s="89">
        <v>7063.5716869999997</v>
      </c>
      <c r="L39" s="475">
        <f t="shared" si="17"/>
        <v>0</v>
      </c>
      <c r="M39" s="89">
        <f t="shared" si="15"/>
        <v>24874.055643</v>
      </c>
      <c r="N39" s="89">
        <f t="shared" si="18"/>
        <v>14367.643382999999</v>
      </c>
      <c r="O39" s="546"/>
      <c r="P39" s="178">
        <f t="shared" si="1"/>
        <v>0</v>
      </c>
      <c r="Q39" s="179">
        <f t="shared" si="2"/>
        <v>0</v>
      </c>
    </row>
    <row r="40" spans="1:17" ht="15" customHeight="1" x14ac:dyDescent="0.25">
      <c r="A40" s="143" t="s">
        <v>1703</v>
      </c>
      <c r="B40" s="547" t="s">
        <v>196</v>
      </c>
      <c r="C40" s="601" t="s">
        <v>3035</v>
      </c>
      <c r="D40" s="532" t="s">
        <v>48</v>
      </c>
      <c r="E40" s="89">
        <f>IF(OR(E41="NA",E42="NA",E43="NA",E44="NA",E45="NA",E46="NA",E47="NA",),"NA",IF(AND(E41="",E42="",E43="",E44="",E45="",E46="",E47="",E48=""),"",SUM(E41:E48)))</f>
        <v>-112.97269499999996</v>
      </c>
      <c r="F40" s="89">
        <f>IF(OR(F41="NA",F42="NA",F43="NA",F44="NA",F45="NA",F46="NA",F47="NA",),"NA",IF(AND(F41="",F42="",F43="",F44="",F45="",F46="",F47="",F48=""),"",SUM(F41:F48)))</f>
        <v>17.497147999999999</v>
      </c>
      <c r="G40" s="477">
        <v>0</v>
      </c>
      <c r="H40" s="89">
        <f>IF(OR(H41="NA",H42="NA",H43="NA",H44="NA",H45="NA",H46="NA",H47="NA",),"NA",IF(AND(H41="",H42="",H43="",H44="",H45="",H46="",H47="",H48=""),"",SUM(H41:H48)))</f>
        <v>-95.475546999999978</v>
      </c>
      <c r="I40" s="89">
        <f>IF(OR(I41="NA",I42="NA",I43="NA",I44="NA",I45="NA",I46="NA",I47="NA",),"NA",IF(AND(I41="",I42="",I43="",I44="",I45="",I46="",I47="",I48=""),"",SUM(I41:I48)))</f>
        <v>0</v>
      </c>
      <c r="J40" s="89">
        <f>IF(OR(J41="NA",J42="NA",J43="NA",J44="NA",J45="NA",J46="NA",J47="NA",),"NA",IF(AND(J41="",J42="",J43="",J44="",J45="",J46="",J47="",J48=""),"",SUM(J41:J48)))</f>
        <v>-57.470853000000005</v>
      </c>
      <c r="K40" s="89">
        <f>IF(OR(K41="NA",K42="NA",K43="NA",K44="NA",K45="NA",K46="NA",K47="NA",),"NA",IF(AND(K41="",K42="",K43="",K44="",K45="",K46="",K47="",K48=""),"",SUM(K41:K48)))</f>
        <v>-9.0427050000000051</v>
      </c>
      <c r="L40" s="477">
        <v>0</v>
      </c>
      <c r="M40" s="89">
        <f>IF(OR(M41="NA",M42="NA",M43="NA",M44="NA",M45="NA",M46="NA",M47="NA",),"NA",IF(AND(M41="",M42="",M43="",M44="",M45="",M46="",M47="",M48=""),"",SUM(M41:M48)))</f>
        <v>-161.98910500000005</v>
      </c>
      <c r="N40" s="89">
        <f>IF(OR(N41="NA",N42="NA",N43="NA",N44="NA",N45="NA",N46="NA",N47="NA",),"NA",IF(AND(N41="",N42="",N43="",N44="",N45="",N46="",N47="",N48=""),"",SUM(N41:N48)))</f>
        <v>-95.475546999999978</v>
      </c>
      <c r="O40" s="546"/>
      <c r="P40" s="178">
        <f t="shared" ref="P40:P71" si="19">IF(OR(H40="NA",E40="NA",F40="NA",G40="NA"),"NA",SUM(H40)-SUM(E40:G40))</f>
        <v>-1.4210854715202004E-14</v>
      </c>
      <c r="Q40" s="179">
        <f t="shared" ref="Q40:Q71" si="20">IF(OR(M40="NA",H40="NA",I40="NA",J40="NA",K40="NA",L40="NA"),"NA",SUM(M40)-SUM(H40:L40))</f>
        <v>-5.6843418860808015E-14</v>
      </c>
    </row>
    <row r="41" spans="1:17" ht="10.35" customHeight="1" x14ac:dyDescent="0.25">
      <c r="A41" s="143" t="s">
        <v>1704</v>
      </c>
      <c r="B41" s="549" t="s">
        <v>147</v>
      </c>
      <c r="C41" s="602" t="s">
        <v>3027</v>
      </c>
      <c r="D41" s="532" t="s">
        <v>48</v>
      </c>
      <c r="E41" s="89">
        <v>0</v>
      </c>
      <c r="F41" s="89">
        <v>0</v>
      </c>
      <c r="G41" s="473">
        <v>0</v>
      </c>
      <c r="H41" s="89">
        <f>IF(OR(E41="NA",F41="NA"),"NA",IF(AND(E41="",F41=""),"",SUM(E41:G41)))</f>
        <v>0</v>
      </c>
      <c r="I41" s="89">
        <v>0</v>
      </c>
      <c r="J41" s="89">
        <v>0</v>
      </c>
      <c r="K41" s="89">
        <v>0</v>
      </c>
      <c r="L41" s="473">
        <v>0</v>
      </c>
      <c r="M41" s="89">
        <f>IF(OR(H41="NA",I41="NA",J41="NA",K41="NA"),"NA",IF(AND(H41="",I41="",J41="",K41=""),"",SUM(H41:L41)))</f>
        <v>0</v>
      </c>
      <c r="N41" s="91">
        <f>H41+I41</f>
        <v>0</v>
      </c>
      <c r="O41" s="546"/>
      <c r="P41" s="178">
        <f t="shared" si="19"/>
        <v>0</v>
      </c>
      <c r="Q41" s="179">
        <f t="shared" si="20"/>
        <v>0</v>
      </c>
    </row>
    <row r="42" spans="1:17" ht="10.35" customHeight="1" x14ac:dyDescent="0.25">
      <c r="A42" s="143" t="s">
        <v>1705</v>
      </c>
      <c r="B42" s="549" t="s">
        <v>1111</v>
      </c>
      <c r="C42" s="602" t="s">
        <v>3028</v>
      </c>
      <c r="D42" s="532" t="s">
        <v>48</v>
      </c>
      <c r="E42" s="89">
        <v>326.247229</v>
      </c>
      <c r="F42" s="89">
        <v>13.863424</v>
      </c>
      <c r="G42" s="473">
        <v>0</v>
      </c>
      <c r="H42" s="89">
        <f t="shared" ref="H42:H48" si="21">IF(OR(E42="NA",F42="NA"),"NA",IF(AND(E42="",F42=""),"",SUM(E42:G42)))</f>
        <v>340.11065300000001</v>
      </c>
      <c r="I42" s="89">
        <v>0</v>
      </c>
      <c r="J42" s="89">
        <v>10.733036</v>
      </c>
      <c r="K42" s="93">
        <v>0.421267</v>
      </c>
      <c r="L42" s="473">
        <v>0</v>
      </c>
      <c r="M42" s="89">
        <f t="shared" ref="M42:M48" si="22">IF(OR(H42="NA",I42="NA",J42="NA",K42="NA"),"NA",IF(AND(H42="",I42="",J42="",K42=""),"",SUM(H42:L42)))</f>
        <v>351.26495600000004</v>
      </c>
      <c r="N42" s="91">
        <f t="shared" ref="N42:N48" si="23">H42+I42</f>
        <v>340.11065300000001</v>
      </c>
      <c r="O42" s="546"/>
      <c r="P42" s="178">
        <f t="shared" si="19"/>
        <v>0</v>
      </c>
      <c r="Q42" s="179">
        <f t="shared" si="20"/>
        <v>0</v>
      </c>
    </row>
    <row r="43" spans="1:17" ht="10.35" customHeight="1" x14ac:dyDescent="0.25">
      <c r="A43" s="143" t="s">
        <v>1706</v>
      </c>
      <c r="B43" s="549" t="s">
        <v>1112</v>
      </c>
      <c r="C43" s="602" t="s">
        <v>3036</v>
      </c>
      <c r="D43" s="532" t="s">
        <v>48</v>
      </c>
      <c r="E43" s="89">
        <v>-258.59699599999999</v>
      </c>
      <c r="F43" s="89">
        <v>3.6304059999999998</v>
      </c>
      <c r="G43" s="473">
        <v>0</v>
      </c>
      <c r="H43" s="89">
        <f t="shared" si="21"/>
        <v>-254.96659</v>
      </c>
      <c r="I43" s="89">
        <v>0</v>
      </c>
      <c r="J43" s="89">
        <v>0</v>
      </c>
      <c r="K43" s="93">
        <v>0</v>
      </c>
      <c r="L43" s="473">
        <v>0</v>
      </c>
      <c r="M43" s="89">
        <f t="shared" si="22"/>
        <v>-254.96659</v>
      </c>
      <c r="N43" s="91">
        <f t="shared" si="23"/>
        <v>-254.96659</v>
      </c>
      <c r="O43" s="546"/>
      <c r="P43" s="178">
        <f t="shared" si="19"/>
        <v>0</v>
      </c>
      <c r="Q43" s="179">
        <f t="shared" si="20"/>
        <v>0</v>
      </c>
    </row>
    <row r="44" spans="1:17" ht="10.35" customHeight="1" x14ac:dyDescent="0.25">
      <c r="A44" s="143" t="s">
        <v>1707</v>
      </c>
      <c r="B44" s="549" t="s">
        <v>1113</v>
      </c>
      <c r="C44" s="602" t="s">
        <v>3037</v>
      </c>
      <c r="D44" s="532" t="s">
        <v>48</v>
      </c>
      <c r="E44" s="89">
        <v>-488.786856</v>
      </c>
      <c r="F44" s="89">
        <v>-1.728E-2</v>
      </c>
      <c r="G44" s="473">
        <v>0</v>
      </c>
      <c r="H44" s="89">
        <f t="shared" si="21"/>
        <v>-488.80413600000003</v>
      </c>
      <c r="I44" s="89">
        <v>0</v>
      </c>
      <c r="J44" s="89">
        <v>-68.203889000000004</v>
      </c>
      <c r="K44" s="93">
        <v>-52.976860000000002</v>
      </c>
      <c r="L44" s="473">
        <v>0</v>
      </c>
      <c r="M44" s="89">
        <f t="shared" si="22"/>
        <v>-609.98488500000008</v>
      </c>
      <c r="N44" s="91">
        <f t="shared" si="23"/>
        <v>-488.80413600000003</v>
      </c>
      <c r="O44" s="546"/>
      <c r="P44" s="178">
        <f t="shared" si="19"/>
        <v>0</v>
      </c>
      <c r="Q44" s="179">
        <f t="shared" si="20"/>
        <v>0</v>
      </c>
    </row>
    <row r="45" spans="1:17" ht="10.35" customHeight="1" x14ac:dyDescent="0.25">
      <c r="A45" s="143" t="s">
        <v>1708</v>
      </c>
      <c r="B45" s="549" t="s">
        <v>1114</v>
      </c>
      <c r="C45" s="602" t="s">
        <v>3031</v>
      </c>
      <c r="D45" s="532" t="s">
        <v>48</v>
      </c>
      <c r="E45" s="89">
        <v>306.16594300000003</v>
      </c>
      <c r="F45" s="89">
        <v>0</v>
      </c>
      <c r="G45" s="473">
        <v>0</v>
      </c>
      <c r="H45" s="89">
        <f t="shared" si="21"/>
        <v>306.16594300000003</v>
      </c>
      <c r="I45" s="89">
        <v>0</v>
      </c>
      <c r="J45" s="89">
        <v>0</v>
      </c>
      <c r="K45" s="93">
        <v>0</v>
      </c>
      <c r="L45" s="473">
        <v>0</v>
      </c>
      <c r="M45" s="89">
        <f t="shared" si="22"/>
        <v>306.16594300000003</v>
      </c>
      <c r="N45" s="91">
        <f t="shared" si="23"/>
        <v>306.16594300000003</v>
      </c>
      <c r="O45" s="546"/>
      <c r="P45" s="178">
        <f t="shared" si="19"/>
        <v>0</v>
      </c>
      <c r="Q45" s="179">
        <f t="shared" si="20"/>
        <v>0</v>
      </c>
    </row>
    <row r="46" spans="1:17" ht="10.35" customHeight="1" x14ac:dyDescent="0.25">
      <c r="A46" s="143" t="s">
        <v>1709</v>
      </c>
      <c r="B46" s="549" t="s">
        <v>1115</v>
      </c>
      <c r="C46" s="602" t="s">
        <v>3038</v>
      </c>
      <c r="D46" s="532" t="s">
        <v>48</v>
      </c>
      <c r="E46" s="89">
        <v>0</v>
      </c>
      <c r="F46" s="89">
        <v>0</v>
      </c>
      <c r="G46" s="473">
        <v>0</v>
      </c>
      <c r="H46" s="89">
        <f t="shared" si="21"/>
        <v>0</v>
      </c>
      <c r="I46" s="89">
        <v>0</v>
      </c>
      <c r="J46" s="89">
        <v>0</v>
      </c>
      <c r="K46" s="93">
        <v>0</v>
      </c>
      <c r="L46" s="473">
        <v>0</v>
      </c>
      <c r="M46" s="89">
        <f t="shared" si="22"/>
        <v>0</v>
      </c>
      <c r="N46" s="91">
        <f t="shared" si="23"/>
        <v>0</v>
      </c>
      <c r="O46" s="546"/>
      <c r="P46" s="178">
        <f t="shared" si="19"/>
        <v>0</v>
      </c>
      <c r="Q46" s="179">
        <f t="shared" si="20"/>
        <v>0</v>
      </c>
    </row>
    <row r="47" spans="1:17" ht="10.35" customHeight="1" x14ac:dyDescent="0.25">
      <c r="A47" s="143" t="s">
        <v>1710</v>
      </c>
      <c r="B47" s="549" t="s">
        <v>1116</v>
      </c>
      <c r="C47" s="602" t="s">
        <v>3039</v>
      </c>
      <c r="D47" s="532" t="s">
        <v>48</v>
      </c>
      <c r="E47" s="89">
        <v>0</v>
      </c>
      <c r="F47" s="89">
        <v>0</v>
      </c>
      <c r="G47" s="473">
        <v>0</v>
      </c>
      <c r="H47" s="89">
        <f t="shared" si="21"/>
        <v>0</v>
      </c>
      <c r="I47" s="89">
        <v>0</v>
      </c>
      <c r="J47" s="89">
        <v>0</v>
      </c>
      <c r="K47" s="93">
        <v>0</v>
      </c>
      <c r="L47" s="473">
        <v>0</v>
      </c>
      <c r="M47" s="89">
        <f t="shared" si="22"/>
        <v>0</v>
      </c>
      <c r="N47" s="91">
        <f t="shared" si="23"/>
        <v>0</v>
      </c>
      <c r="O47" s="546"/>
      <c r="P47" s="178">
        <f t="shared" si="19"/>
        <v>0</v>
      </c>
      <c r="Q47" s="179">
        <f t="shared" si="20"/>
        <v>0</v>
      </c>
    </row>
    <row r="48" spans="1:17" ht="10.35" customHeight="1" x14ac:dyDescent="0.25">
      <c r="A48" s="143" t="s">
        <v>1711</v>
      </c>
      <c r="B48" s="549" t="s">
        <v>1117</v>
      </c>
      <c r="C48" s="602" t="s">
        <v>3040</v>
      </c>
      <c r="D48" s="532" t="s">
        <v>48</v>
      </c>
      <c r="E48" s="92">
        <v>1.9979849999999999</v>
      </c>
      <c r="F48" s="89">
        <v>2.0598000000000002E-2</v>
      </c>
      <c r="G48" s="474">
        <v>0</v>
      </c>
      <c r="H48" s="89">
        <f t="shared" si="21"/>
        <v>2.018583</v>
      </c>
      <c r="I48" s="89">
        <v>0</v>
      </c>
      <c r="J48" s="89">
        <v>0</v>
      </c>
      <c r="K48" s="93">
        <v>43.512887999999997</v>
      </c>
      <c r="L48" s="474">
        <v>0</v>
      </c>
      <c r="M48" s="89">
        <f t="shared" si="22"/>
        <v>45.531470999999996</v>
      </c>
      <c r="N48" s="91">
        <f t="shared" si="23"/>
        <v>2.018583</v>
      </c>
      <c r="O48" s="546"/>
      <c r="P48" s="178">
        <f t="shared" si="19"/>
        <v>0</v>
      </c>
      <c r="Q48" s="179">
        <f t="shared" si="20"/>
        <v>0</v>
      </c>
    </row>
    <row r="49" spans="1:17" ht="15" customHeight="1" x14ac:dyDescent="0.25">
      <c r="A49" s="143" t="s">
        <v>1712</v>
      </c>
      <c r="B49" s="594" t="s">
        <v>1118</v>
      </c>
      <c r="C49" s="595" t="s">
        <v>3041</v>
      </c>
      <c r="D49" s="586" t="s">
        <v>48</v>
      </c>
      <c r="E49" s="145">
        <f>IF(OR(E50="NA",E51="NA",E52="NA",E53="NA",E54="NA",E55="NA",E61="NA"),"NA",IF(AND(E50="",E51="",E52="",E53="",E54="",E55="",E61="",E62=""),"",SUM(E50:E55)+SUM(E61:E62)))</f>
        <v>73288.710000000006</v>
      </c>
      <c r="F49" s="145">
        <f>IF(OR(F51="NA",F52="NA",F53="NA",F54="NA",F55="NA",F61="NA"),"NA",IF(AND(F51="",F52="",F53="",F54="",F55="",F61="",F62=""),"",SUM(F50:F55)+SUM(F61:F62)))</f>
        <v>339.41199999999998</v>
      </c>
      <c r="G49" s="145">
        <f>IF(OR(G51="NA",G52="NA",G53="NA",G54="NA",G55="NA",G61="NA"),"NA",IF(AND(G51="",G52="",G53="",G54="",G55="",G61="",G62=""),"",SUM(G50:G55)+SUM(G61:G62)))</f>
        <v>-215.79</v>
      </c>
      <c r="H49" s="145">
        <f t="shared" ref="H49:N49" si="24">IF(OR(H50="NA",H51="NA",H52="NA",H53="NA",H54="NA",H55="NA",H61="NA"),"NA",IF(AND(H50="",H51="",H52="",H53="",H54="",H55="",H61="",H62=""),"",SUM(H50:H55)+SUM(H61:H62)))</f>
        <v>73412.332000000009</v>
      </c>
      <c r="I49" s="145">
        <f>IF(OR(I51="NA",I52="NA",I53="NA",I54="NA",I55="NA",I61="NA"),"NA",IF(AND(I51="",I52="",I53="",I54="",I55="",I61="",I62=""),"",SUM(I50:I55)+SUM(I61:I62)))</f>
        <v>1181.3718879999999</v>
      </c>
      <c r="J49" s="145">
        <f>IF(OR(J51="NA",J52="NA",J53="NA",J54="NA",J55="NA",J61="NA"),"NA",IF(AND(J51="",J52="",J53="",J54="",J55="",J61="",J62=""),"",SUM(J50:J55)+SUM(J61:J62)))</f>
        <v>4782.9508100000003</v>
      </c>
      <c r="K49" s="145">
        <f>IF(OR(K51="NA",K52="NA",K53="NA",K54="NA",K55="NA",K61="NA"),"NA",IF(AND(K51="",K52="",K53="",K54="",K55="",K61="",K62=""),"",SUM(K50:K55)+SUM(K61:K62)))</f>
        <v>1267.5000239999999</v>
      </c>
      <c r="L49" s="145">
        <f>IF(OR(L51="NA",L52="NA",L53="NA",L54="NA",L55="NA",L61="NA"),"NA",IF(AND(L51="",L52="",L53="",L54="",L55="",L61="",L62=""),"",SUM(L50:L55)+SUM(L61:L62)))</f>
        <v>0</v>
      </c>
      <c r="M49" s="145">
        <f t="shared" si="24"/>
        <v>80644.154721999992</v>
      </c>
      <c r="N49" s="145">
        <f t="shared" si="24"/>
        <v>74593.703887999989</v>
      </c>
      <c r="O49" s="546"/>
      <c r="P49" s="237">
        <f t="shared" si="19"/>
        <v>0</v>
      </c>
      <c r="Q49" s="238">
        <f t="shared" si="20"/>
        <v>0</v>
      </c>
    </row>
    <row r="50" spans="1:17" s="270" customFormat="1" ht="12.2" customHeight="1" x14ac:dyDescent="0.25">
      <c r="A50" s="143" t="s">
        <v>1713</v>
      </c>
      <c r="B50" s="549" t="s">
        <v>1119</v>
      </c>
      <c r="C50" s="550" t="s">
        <v>3042</v>
      </c>
      <c r="D50" s="532" t="s">
        <v>48</v>
      </c>
      <c r="E50" s="89">
        <f>IF(+E72="","",+E72)</f>
        <v>0</v>
      </c>
      <c r="F50" s="473">
        <v>0</v>
      </c>
      <c r="G50" s="473">
        <v>0</v>
      </c>
      <c r="H50" s="89">
        <f t="shared" ref="H50:N50" si="25">IF(+H72="","",+H72)</f>
        <v>0</v>
      </c>
      <c r="I50" s="473">
        <v>0</v>
      </c>
      <c r="J50" s="473">
        <v>0</v>
      </c>
      <c r="K50" s="473">
        <v>0</v>
      </c>
      <c r="L50" s="473">
        <v>0</v>
      </c>
      <c r="M50" s="89">
        <f t="shared" si="25"/>
        <v>0</v>
      </c>
      <c r="N50" s="89">
        <f t="shared" si="25"/>
        <v>0</v>
      </c>
      <c r="O50" s="546"/>
      <c r="P50" s="178">
        <f t="shared" si="19"/>
        <v>0</v>
      </c>
      <c r="Q50" s="179">
        <f t="shared" si="20"/>
        <v>0</v>
      </c>
    </row>
    <row r="51" spans="1:17" s="270" customFormat="1" ht="10.35" customHeight="1" x14ac:dyDescent="0.25">
      <c r="A51" s="143" t="s">
        <v>1714</v>
      </c>
      <c r="B51" s="549" t="s">
        <v>1120</v>
      </c>
      <c r="C51" s="550" t="s">
        <v>3043</v>
      </c>
      <c r="D51" s="532" t="s">
        <v>48</v>
      </c>
      <c r="E51" s="89">
        <f t="shared" ref="E51:N51" si="26">IF(OR(E64="NA",E73="NA"),"NA",IF(AND(E64="",E73=""),"",SUM(E64)+SUM(E73)))</f>
        <v>6394.1670000000004</v>
      </c>
      <c r="F51" s="89">
        <f t="shared" si="26"/>
        <v>170.023</v>
      </c>
      <c r="G51" s="89">
        <v>0</v>
      </c>
      <c r="H51" s="89">
        <f t="shared" si="26"/>
        <v>6564.1900000000005</v>
      </c>
      <c r="I51" s="89">
        <f t="shared" si="26"/>
        <v>66.487009999999998</v>
      </c>
      <c r="J51" s="89">
        <f t="shared" si="26"/>
        <v>2381.8075220000001</v>
      </c>
      <c r="K51" s="89">
        <f t="shared" si="26"/>
        <v>175.90471700000001</v>
      </c>
      <c r="L51" s="89">
        <v>0</v>
      </c>
      <c r="M51" s="89">
        <f t="shared" si="26"/>
        <v>9188.3892489999998</v>
      </c>
      <c r="N51" s="89">
        <f t="shared" si="26"/>
        <v>6630.6770100000003</v>
      </c>
      <c r="O51" s="546"/>
      <c r="P51" s="178">
        <f t="shared" si="19"/>
        <v>0</v>
      </c>
      <c r="Q51" s="179">
        <f t="shared" si="20"/>
        <v>0</v>
      </c>
    </row>
    <row r="52" spans="1:17" s="270" customFormat="1" ht="10.35" customHeight="1" x14ac:dyDescent="0.25">
      <c r="A52" s="143" t="s">
        <v>1715</v>
      </c>
      <c r="B52" s="549" t="s">
        <v>1121</v>
      </c>
      <c r="C52" s="550" t="s">
        <v>3044</v>
      </c>
      <c r="D52" s="532" t="s">
        <v>48</v>
      </c>
      <c r="E52" s="89">
        <f t="shared" ref="E52:N55" si="27">IF(OR(E65="NA",E74="NA"),"NA",IF(AND(E65="",E74=""),"",SUM(E65)+SUM(E74)))</f>
        <v>33427.606</v>
      </c>
      <c r="F52" s="89">
        <f t="shared" si="27"/>
        <v>0</v>
      </c>
      <c r="G52" s="89">
        <v>0</v>
      </c>
      <c r="H52" s="89">
        <f t="shared" si="27"/>
        <v>33427.606</v>
      </c>
      <c r="I52" s="89">
        <f t="shared" si="27"/>
        <v>1.250699</v>
      </c>
      <c r="J52" s="89">
        <f t="shared" si="27"/>
        <v>66.878445999999997</v>
      </c>
      <c r="K52" s="89">
        <f t="shared" si="27"/>
        <v>-137.53704500000001</v>
      </c>
      <c r="L52" s="89">
        <v>0</v>
      </c>
      <c r="M52" s="89">
        <f t="shared" si="27"/>
        <v>33358.198100000001</v>
      </c>
      <c r="N52" s="89">
        <f t="shared" si="27"/>
        <v>33428.856698999996</v>
      </c>
      <c r="O52" s="546"/>
      <c r="P52" s="178">
        <f t="shared" si="19"/>
        <v>0</v>
      </c>
      <c r="Q52" s="179">
        <f t="shared" si="20"/>
        <v>0</v>
      </c>
    </row>
    <row r="53" spans="1:17" s="270" customFormat="1" ht="10.35" customHeight="1" x14ac:dyDescent="0.25">
      <c r="A53" s="143" t="s">
        <v>1716</v>
      </c>
      <c r="B53" s="549" t="s">
        <v>1122</v>
      </c>
      <c r="C53" s="550" t="s">
        <v>3045</v>
      </c>
      <c r="D53" s="532" t="s">
        <v>48</v>
      </c>
      <c r="E53" s="89">
        <f t="shared" si="27"/>
        <v>5267.5920000000006</v>
      </c>
      <c r="F53" s="89">
        <f t="shared" si="27"/>
        <v>-2.4119999999999999</v>
      </c>
      <c r="G53" s="89">
        <v>-9.8800000000000008</v>
      </c>
      <c r="H53" s="89">
        <f t="shared" si="27"/>
        <v>5255.3</v>
      </c>
      <c r="I53" s="89">
        <f t="shared" si="27"/>
        <v>6.8949999999999845E-3</v>
      </c>
      <c r="J53" s="89">
        <f t="shared" si="27"/>
        <v>-281.868021</v>
      </c>
      <c r="K53" s="89">
        <f t="shared" si="27"/>
        <v>3.0664150000000063</v>
      </c>
      <c r="L53" s="89">
        <v>0</v>
      </c>
      <c r="M53" s="89">
        <f t="shared" si="27"/>
        <v>4976.5052889999997</v>
      </c>
      <c r="N53" s="89">
        <f t="shared" si="27"/>
        <v>5255.3068949999997</v>
      </c>
      <c r="O53" s="546"/>
      <c r="P53" s="178">
        <f t="shared" si="19"/>
        <v>0</v>
      </c>
      <c r="Q53" s="179">
        <f t="shared" si="20"/>
        <v>-9.0949470177292824E-13</v>
      </c>
    </row>
    <row r="54" spans="1:17" s="270" customFormat="1" ht="10.35" customHeight="1" x14ac:dyDescent="0.25">
      <c r="A54" s="143" t="s">
        <v>1717</v>
      </c>
      <c r="B54" s="549" t="s">
        <v>1123</v>
      </c>
      <c r="C54" s="550" t="s">
        <v>3046</v>
      </c>
      <c r="D54" s="532" t="s">
        <v>48</v>
      </c>
      <c r="E54" s="89">
        <f t="shared" si="27"/>
        <v>0</v>
      </c>
      <c r="F54" s="89">
        <f t="shared" si="27"/>
        <v>0</v>
      </c>
      <c r="G54" s="89">
        <v>0</v>
      </c>
      <c r="H54" s="89">
        <f t="shared" si="27"/>
        <v>0</v>
      </c>
      <c r="I54" s="89">
        <f t="shared" si="27"/>
        <v>0</v>
      </c>
      <c r="J54" s="89">
        <f t="shared" si="27"/>
        <v>0</v>
      </c>
      <c r="K54" s="89">
        <f t="shared" si="27"/>
        <v>0</v>
      </c>
      <c r="L54" s="89">
        <v>0</v>
      </c>
      <c r="M54" s="89">
        <f t="shared" si="27"/>
        <v>0</v>
      </c>
      <c r="N54" s="89">
        <f t="shared" si="27"/>
        <v>0</v>
      </c>
      <c r="O54" s="546"/>
      <c r="P54" s="178">
        <f t="shared" si="19"/>
        <v>0</v>
      </c>
      <c r="Q54" s="179">
        <f t="shared" si="20"/>
        <v>0</v>
      </c>
    </row>
    <row r="55" spans="1:17" s="270" customFormat="1" ht="10.35" customHeight="1" x14ac:dyDescent="0.25">
      <c r="A55" s="143" t="s">
        <v>1718</v>
      </c>
      <c r="B55" s="549" t="s">
        <v>1124</v>
      </c>
      <c r="C55" s="550" t="s">
        <v>3047</v>
      </c>
      <c r="D55" s="532" t="s">
        <v>48</v>
      </c>
      <c r="E55" s="89">
        <f t="shared" si="27"/>
        <v>3490.3220000000001</v>
      </c>
      <c r="F55" s="89">
        <f t="shared" si="27"/>
        <v>243.886</v>
      </c>
      <c r="G55" s="89">
        <v>-205.91</v>
      </c>
      <c r="H55" s="89">
        <f t="shared" si="27"/>
        <v>3528.2980000000002</v>
      </c>
      <c r="I55" s="89">
        <f t="shared" si="27"/>
        <v>417.99030599999998</v>
      </c>
      <c r="J55" s="89">
        <f t="shared" si="27"/>
        <v>2564.3502309999999</v>
      </c>
      <c r="K55" s="89">
        <f t="shared" si="27"/>
        <v>514.20967700000006</v>
      </c>
      <c r="L55" s="89">
        <v>0</v>
      </c>
      <c r="M55" s="89">
        <f t="shared" si="27"/>
        <v>7024.8482140000006</v>
      </c>
      <c r="N55" s="89">
        <f t="shared" si="27"/>
        <v>3946.2883060000004</v>
      </c>
      <c r="O55" s="546"/>
      <c r="P55" s="178">
        <f t="shared" si="19"/>
        <v>0</v>
      </c>
      <c r="Q55" s="179">
        <f t="shared" si="20"/>
        <v>0</v>
      </c>
    </row>
    <row r="56" spans="1:17" s="270" customFormat="1" ht="10.35" customHeight="1" x14ac:dyDescent="0.25">
      <c r="A56" s="143" t="s">
        <v>2020</v>
      </c>
      <c r="B56" s="549" t="s">
        <v>1125</v>
      </c>
      <c r="C56" s="602" t="s">
        <v>3048</v>
      </c>
      <c r="D56" s="532" t="s">
        <v>48</v>
      </c>
      <c r="E56" s="89">
        <v>0</v>
      </c>
      <c r="F56" s="89">
        <v>0</v>
      </c>
      <c r="G56" s="89">
        <v>0</v>
      </c>
      <c r="H56" s="89">
        <f>IF(OR(E56="NA",F56="NA",G56="NA"),"NA",IF(AND(E56="",F56="",G56=""),"",SUM(E56:G56)))</f>
        <v>0</v>
      </c>
      <c r="I56" s="89">
        <v>0</v>
      </c>
      <c r="J56" s="89">
        <v>0</v>
      </c>
      <c r="K56" s="89">
        <v>0</v>
      </c>
      <c r="L56" s="89">
        <v>0</v>
      </c>
      <c r="M56" s="89">
        <f>IF(OR(H56="NA",I56="NA",J56="NA",K56="NA",L56="NA"),"NA",IF(AND(H56="",I56="",J56="",K56="",L56=""),"",SUM(H56:L56)))</f>
        <v>0</v>
      </c>
      <c r="N56" s="89">
        <f>H56+I56</f>
        <v>0</v>
      </c>
      <c r="O56" s="546"/>
      <c r="P56" s="178">
        <f t="shared" si="19"/>
        <v>0</v>
      </c>
      <c r="Q56" s="179">
        <f t="shared" si="20"/>
        <v>0</v>
      </c>
    </row>
    <row r="57" spans="1:17" s="270" customFormat="1" ht="10.35" customHeight="1" x14ac:dyDescent="0.25">
      <c r="A57" s="143" t="s">
        <v>2021</v>
      </c>
      <c r="B57" s="549" t="s">
        <v>1126</v>
      </c>
      <c r="C57" s="602" t="s">
        <v>3049</v>
      </c>
      <c r="D57" s="532" t="s">
        <v>48</v>
      </c>
      <c r="E57" s="89">
        <v>0</v>
      </c>
      <c r="F57" s="89">
        <v>0</v>
      </c>
      <c r="G57" s="89">
        <v>0</v>
      </c>
      <c r="H57" s="89">
        <f>IF(OR(E57="NA",F57="NA",G57="NA"),"NA",IF(AND(E57="",F57="",G57=""),"",SUM(E57:G57)))</f>
        <v>0</v>
      </c>
      <c r="I57" s="89">
        <v>0</v>
      </c>
      <c r="J57" s="89">
        <v>0</v>
      </c>
      <c r="K57" s="89">
        <v>0</v>
      </c>
      <c r="L57" s="89">
        <v>0</v>
      </c>
      <c r="M57" s="89">
        <f>IF(OR(H57="NA",I57="NA",J57="NA",K57="NA",L57="NA"),"NA",IF(AND(H57="",I57="",J57="",K57="",L57=""),"",SUM(H57:L57)))</f>
        <v>0</v>
      </c>
      <c r="N57" s="89">
        <f t="shared" ref="N57:N60" si="28">H57+I57</f>
        <v>0</v>
      </c>
      <c r="O57" s="546"/>
      <c r="P57" s="178">
        <f t="shared" si="19"/>
        <v>0</v>
      </c>
      <c r="Q57" s="179">
        <f t="shared" si="20"/>
        <v>0</v>
      </c>
    </row>
    <row r="58" spans="1:17" s="270" customFormat="1" ht="10.35" customHeight="1" x14ac:dyDescent="0.25">
      <c r="A58" s="143" t="s">
        <v>2022</v>
      </c>
      <c r="B58" s="549" t="s">
        <v>1127</v>
      </c>
      <c r="C58" s="602" t="s">
        <v>3050</v>
      </c>
      <c r="D58" s="532" t="s">
        <v>48</v>
      </c>
      <c r="E58" s="89">
        <v>0</v>
      </c>
      <c r="F58" s="89">
        <v>0</v>
      </c>
      <c r="G58" s="89">
        <v>0</v>
      </c>
      <c r="H58" s="89">
        <f>IF(OR(E58="NA",F58="NA",G58="NA"),"NA",IF(AND(E58="",F58="",G58=""),"",SUM(E58:G58)))</f>
        <v>0</v>
      </c>
      <c r="I58" s="89">
        <v>0</v>
      </c>
      <c r="J58" s="89">
        <v>0</v>
      </c>
      <c r="K58" s="89">
        <v>0</v>
      </c>
      <c r="L58" s="89">
        <v>0</v>
      </c>
      <c r="M58" s="89">
        <f>IF(OR(H58="NA",I58="NA",J58="NA",K58="NA",L58="NA"),"NA",IF(AND(H58="",I58="",J58="",K58="",L58=""),"",SUM(H58:L58)))</f>
        <v>0</v>
      </c>
      <c r="N58" s="89">
        <f t="shared" si="28"/>
        <v>0</v>
      </c>
      <c r="O58" s="546"/>
      <c r="P58" s="178">
        <f t="shared" si="19"/>
        <v>0</v>
      </c>
      <c r="Q58" s="179">
        <f t="shared" si="20"/>
        <v>0</v>
      </c>
    </row>
    <row r="59" spans="1:17" s="270" customFormat="1" ht="10.35" customHeight="1" x14ac:dyDescent="0.25">
      <c r="A59" s="143" t="s">
        <v>2023</v>
      </c>
      <c r="B59" s="549" t="s">
        <v>1128</v>
      </c>
      <c r="C59" s="602" t="s">
        <v>3051</v>
      </c>
      <c r="D59" s="532" t="s">
        <v>48</v>
      </c>
      <c r="E59" s="89">
        <v>0</v>
      </c>
      <c r="F59" s="89">
        <v>0</v>
      </c>
      <c r="G59" s="89">
        <v>0</v>
      </c>
      <c r="H59" s="89">
        <f>IF(OR(E59="NA",F59="NA",G59="NA"),"NA",IF(AND(E59="",F59="",G59=""),"",SUM(E59:G59)))</f>
        <v>0</v>
      </c>
      <c r="I59" s="89">
        <v>0</v>
      </c>
      <c r="J59" s="89">
        <v>0</v>
      </c>
      <c r="K59" s="89">
        <v>0</v>
      </c>
      <c r="L59" s="89">
        <v>0</v>
      </c>
      <c r="M59" s="89">
        <f>IF(OR(H59="NA",I59="NA",J59="NA",K59="NA",L59="NA"),"NA",IF(AND(H59="",I59="",J59="",K59="",L59=""),"",SUM(H59:L59)))</f>
        <v>0</v>
      </c>
      <c r="N59" s="89">
        <f t="shared" si="28"/>
        <v>0</v>
      </c>
      <c r="O59" s="546"/>
      <c r="P59" s="178">
        <f t="shared" si="19"/>
        <v>0</v>
      </c>
      <c r="Q59" s="179">
        <f t="shared" si="20"/>
        <v>0</v>
      </c>
    </row>
    <row r="60" spans="1:17" s="270" customFormat="1" ht="10.35" customHeight="1" x14ac:dyDescent="0.25">
      <c r="A60" s="143" t="s">
        <v>2024</v>
      </c>
      <c r="B60" s="549" t="s">
        <v>1129</v>
      </c>
      <c r="C60" s="602" t="s">
        <v>3052</v>
      </c>
      <c r="D60" s="532" t="s">
        <v>48</v>
      </c>
      <c r="E60" s="89">
        <v>0</v>
      </c>
      <c r="F60" s="89">
        <v>0</v>
      </c>
      <c r="G60" s="89">
        <v>0</v>
      </c>
      <c r="H60" s="89">
        <f>IF(OR(E60="NA",F60="NA",G60="NA"),"NA",IF(AND(E60="",F60="",G60=""),"",SUM(E60:G60)))</f>
        <v>0</v>
      </c>
      <c r="I60" s="89">
        <v>0</v>
      </c>
      <c r="J60" s="89">
        <v>0</v>
      </c>
      <c r="K60" s="89">
        <v>0</v>
      </c>
      <c r="L60" s="89">
        <v>0</v>
      </c>
      <c r="M60" s="89">
        <f>IF(OR(H60="NA",I60="NA",J60="NA",K60="NA",L60="NA"),"NA",IF(AND(H60="",I60="",J60="",K60="",L60=""),"",SUM(H60:L60)))</f>
        <v>0</v>
      </c>
      <c r="N60" s="89">
        <f t="shared" si="28"/>
        <v>0</v>
      </c>
      <c r="O60" s="546"/>
      <c r="P60" s="178">
        <f t="shared" si="19"/>
        <v>0</v>
      </c>
      <c r="Q60" s="179">
        <f t="shared" si="20"/>
        <v>0</v>
      </c>
    </row>
    <row r="61" spans="1:17" s="270" customFormat="1" ht="10.35" customHeight="1" x14ac:dyDescent="0.25">
      <c r="A61" s="143" t="s">
        <v>1719</v>
      </c>
      <c r="B61" s="549" t="s">
        <v>1130</v>
      </c>
      <c r="C61" s="550" t="s">
        <v>3053</v>
      </c>
      <c r="D61" s="532" t="s">
        <v>48</v>
      </c>
      <c r="E61" s="89">
        <f t="shared" ref="E61:N61" si="29">IF(OR(E69="NA",E78="NA"),"NA",IF(AND(E69="",E78=""),"",SUM(E69)+SUM(E78)))</f>
        <v>142.51599999999999</v>
      </c>
      <c r="F61" s="89">
        <f t="shared" si="29"/>
        <v>0</v>
      </c>
      <c r="G61" s="89">
        <v>0</v>
      </c>
      <c r="H61" s="89">
        <f t="shared" si="29"/>
        <v>142.51599999999999</v>
      </c>
      <c r="I61" s="89">
        <f t="shared" si="29"/>
        <v>0</v>
      </c>
      <c r="J61" s="89">
        <f t="shared" si="29"/>
        <v>0</v>
      </c>
      <c r="K61" s="89">
        <f t="shared" si="29"/>
        <v>0</v>
      </c>
      <c r="L61" s="89">
        <v>0</v>
      </c>
      <c r="M61" s="89">
        <f t="shared" si="29"/>
        <v>142.51599999999999</v>
      </c>
      <c r="N61" s="89">
        <f t="shared" si="29"/>
        <v>142.51599999999999</v>
      </c>
      <c r="O61" s="546"/>
      <c r="P61" s="178">
        <f t="shared" si="19"/>
        <v>0</v>
      </c>
      <c r="Q61" s="179">
        <f t="shared" si="20"/>
        <v>0</v>
      </c>
    </row>
    <row r="62" spans="1:17" s="270" customFormat="1" ht="10.35" customHeight="1" x14ac:dyDescent="0.25">
      <c r="A62" s="143" t="s">
        <v>1720</v>
      </c>
      <c r="B62" s="549" t="s">
        <v>1131</v>
      </c>
      <c r="C62" s="550" t="s">
        <v>3054</v>
      </c>
      <c r="D62" s="532" t="s">
        <v>48</v>
      </c>
      <c r="E62" s="89">
        <f t="shared" ref="E62:N62" si="30">IF(OR(E70="NA",E79="NA"),"NA",IF(AND(E70="",E79=""),"",SUM(E70)+SUM(E79)))</f>
        <v>24566.506999999998</v>
      </c>
      <c r="F62" s="89">
        <f t="shared" si="30"/>
        <v>-72.084999999999994</v>
      </c>
      <c r="G62" s="89">
        <v>0</v>
      </c>
      <c r="H62" s="89">
        <f t="shared" si="30"/>
        <v>24494.421999999999</v>
      </c>
      <c r="I62" s="89">
        <f t="shared" si="30"/>
        <v>695.636978</v>
      </c>
      <c r="J62" s="89">
        <f t="shared" si="30"/>
        <v>51.782632000000007</v>
      </c>
      <c r="K62" s="89">
        <f t="shared" si="30"/>
        <v>711.85626000000002</v>
      </c>
      <c r="L62" s="89">
        <v>0</v>
      </c>
      <c r="M62" s="89">
        <f t="shared" si="30"/>
        <v>25953.697869999996</v>
      </c>
      <c r="N62" s="89">
        <f t="shared" si="30"/>
        <v>25190.058977999997</v>
      </c>
      <c r="O62" s="546"/>
      <c r="P62" s="178">
        <f t="shared" si="19"/>
        <v>0</v>
      </c>
      <c r="Q62" s="179">
        <f t="shared" si="20"/>
        <v>0</v>
      </c>
    </row>
    <row r="63" spans="1:17" ht="15" customHeight="1" x14ac:dyDescent="0.25">
      <c r="A63" s="143" t="s">
        <v>1721</v>
      </c>
      <c r="B63" s="547" t="s">
        <v>1132</v>
      </c>
      <c r="C63" s="601" t="s">
        <v>3055</v>
      </c>
      <c r="D63" s="532" t="s">
        <v>48</v>
      </c>
      <c r="E63" s="89">
        <f>IF(OR(E64="NA",E65="NA",E66="NA",E67="NA",E68="NA",E69="NA"),"NA",IF(AND(E65="",E66="",E67="",E68="",E69="",E70="",E71=""),"",SUM(E64:E70)))</f>
        <v>69100.629000000001</v>
      </c>
      <c r="F63" s="89">
        <f>IF(OR(F64="NA",F65="NA",F66="NA",F67="NA",F68="NA",F69="NA"),"NA",IF(AND(F65="",F66="",F67="",F68="",F69="",F70="",F71=""),"",SUM(F64:F70)))</f>
        <v>339.38799999999998</v>
      </c>
      <c r="G63" s="488">
        <f>IF(+G49="","",+G49)</f>
        <v>-215.79</v>
      </c>
      <c r="H63" s="89">
        <f>IF(OR(H64="NA",H65="NA",H66="NA",H67="NA",H68="NA",H69="NA"),"NA",IF(AND(H65="",H66="",H67="",H68="",H69="",H70="",H71=""),"",SUM(H64:H70)))</f>
        <v>69224.226999999999</v>
      </c>
      <c r="I63" s="89">
        <f>IF(OR(I64="NA",I65="NA",I66="NA",I67="NA",I68="NA",I69="NA"),"NA",IF(AND(I65="",I66="",I67="",I68="",I69="",I70="",I71=""),"",SUM(I64:I70)))</f>
        <v>1181.0898029999998</v>
      </c>
      <c r="J63" s="89">
        <f>IF(OR(J64="NA",J65="NA",J66="NA",J67="NA",J68="NA",J69="NA"),"NA",IF(AND(J65="",J66="",J67="",J68="",J69="",J70="",J71=""),"",SUM(J64:J70)))</f>
        <v>4783.2236810000004</v>
      </c>
      <c r="K63" s="89">
        <f>IF(OR(K64="NA",K65="NA",K66="NA",K67="NA",K68="NA",K69="NA"),"NA",IF(AND(K65="",K66="",K67="",K68="",K69="",K70="",K71=""),"",SUM(K64:K70)))</f>
        <v>1527.5019280000001</v>
      </c>
      <c r="L63" s="488">
        <f>IF(+L49="","",+L49)</f>
        <v>0</v>
      </c>
      <c r="M63" s="89">
        <f>IF(OR(M64="NA",M65="NA",M66="NA",M67="NA",M68="NA",M69="NA"),"NA",IF(AND(M65="",M66="",M67="",M68="",M69="",M70="",M71=""),"",SUM(M64:M70)))</f>
        <v>76716.042411999995</v>
      </c>
      <c r="N63" s="89">
        <f>IF(OR(N64="NA",N65="NA",N66="NA",N67="NA",N68="NA",N69="NA"),"NA",IF(AND(N65="",N66="",N67="",N68="",N69="",N70="",N71=""),"",SUM(N64:N70)))</f>
        <v>70405.316802999994</v>
      </c>
      <c r="O63" s="546"/>
      <c r="P63" s="178">
        <f t="shared" si="19"/>
        <v>-1.4551915228366852E-11</v>
      </c>
      <c r="Q63" s="179">
        <f t="shared" si="20"/>
        <v>0</v>
      </c>
    </row>
    <row r="64" spans="1:17" ht="10.35" customHeight="1" x14ac:dyDescent="0.25">
      <c r="A64" s="143" t="s">
        <v>1722</v>
      </c>
      <c r="B64" s="549" t="s">
        <v>1133</v>
      </c>
      <c r="C64" s="602" t="s">
        <v>3028</v>
      </c>
      <c r="D64" s="532" t="s">
        <v>48</v>
      </c>
      <c r="E64" s="89">
        <v>6394.1670000000004</v>
      </c>
      <c r="F64" s="89">
        <v>170.023</v>
      </c>
      <c r="G64" s="475">
        <f>IF(+G51="","",+G51)</f>
        <v>0</v>
      </c>
      <c r="H64" s="89">
        <f t="shared" ref="H64:H70" si="31">IF(OR(E64="NA",F64="NA",G64="NA"),"NA",IF(AND(E64="",F64="",G64=""),"",SUM(E64:G64)))</f>
        <v>6564.1900000000005</v>
      </c>
      <c r="I64" s="89">
        <v>66.487009999999998</v>
      </c>
      <c r="J64" s="89">
        <v>2381.8075220000001</v>
      </c>
      <c r="K64" s="89">
        <v>175.90471700000001</v>
      </c>
      <c r="L64" s="475">
        <f>IF(+L51="","",+L51)</f>
        <v>0</v>
      </c>
      <c r="M64" s="89">
        <f t="shared" ref="M64:M70" si="32">IF(OR(H64="NA",I64="NA",J64="NA",K64="NA",L64="NA"),"NA",IF(AND(H64="",I64="",J64="",K64="",L64=""),"",SUM(H64:L64)))</f>
        <v>9188.3892489999998</v>
      </c>
      <c r="N64" s="89">
        <f>H64+I64</f>
        <v>6630.6770100000003</v>
      </c>
      <c r="O64" s="546"/>
      <c r="P64" s="178">
        <f t="shared" si="19"/>
        <v>0</v>
      </c>
      <c r="Q64" s="179">
        <f t="shared" si="20"/>
        <v>0</v>
      </c>
    </row>
    <row r="65" spans="1:17" ht="10.35" customHeight="1" x14ac:dyDescent="0.25">
      <c r="A65" s="143" t="s">
        <v>1723</v>
      </c>
      <c r="B65" s="549" t="s">
        <v>1134</v>
      </c>
      <c r="C65" s="602" t="s">
        <v>3029</v>
      </c>
      <c r="D65" s="532" t="s">
        <v>48</v>
      </c>
      <c r="E65" s="89">
        <v>32751.761999999999</v>
      </c>
      <c r="F65" s="89">
        <v>0</v>
      </c>
      <c r="G65" s="475">
        <f t="shared" ref="G65:G70" si="33">IF(+G52="","",+G52)</f>
        <v>0</v>
      </c>
      <c r="H65" s="89">
        <f t="shared" si="31"/>
        <v>32751.761999999999</v>
      </c>
      <c r="I65" s="89">
        <v>1.250699</v>
      </c>
      <c r="J65" s="89">
        <v>-10.729267999999999</v>
      </c>
      <c r="K65" s="89">
        <v>-137.59021000000001</v>
      </c>
      <c r="L65" s="475">
        <f t="shared" ref="L65:L70" si="34">IF(+L52="","",+L52)</f>
        <v>0</v>
      </c>
      <c r="M65" s="89">
        <f t="shared" si="32"/>
        <v>32604.693221000001</v>
      </c>
      <c r="N65" s="89">
        <f t="shared" ref="N65:N70" si="35">H65+I65</f>
        <v>32753.012698999999</v>
      </c>
      <c r="O65" s="546"/>
      <c r="P65" s="178">
        <f t="shared" si="19"/>
        <v>0</v>
      </c>
      <c r="Q65" s="179">
        <f t="shared" si="20"/>
        <v>0</v>
      </c>
    </row>
    <row r="66" spans="1:17" ht="10.35" customHeight="1" x14ac:dyDescent="0.25">
      <c r="A66" s="143" t="s">
        <v>1724</v>
      </c>
      <c r="B66" s="549" t="s">
        <v>1135</v>
      </c>
      <c r="C66" s="602" t="s">
        <v>3030</v>
      </c>
      <c r="D66" s="532" t="s">
        <v>48</v>
      </c>
      <c r="E66" s="89">
        <v>1755.0630000000001</v>
      </c>
      <c r="F66" s="89">
        <v>-2.4119999999999999</v>
      </c>
      <c r="G66" s="475">
        <f t="shared" si="33"/>
        <v>-9.8800000000000008</v>
      </c>
      <c r="H66" s="89">
        <f t="shared" si="31"/>
        <v>1742.771</v>
      </c>
      <c r="I66" s="89">
        <v>-0.27518999999999999</v>
      </c>
      <c r="J66" s="89">
        <v>-214.091634</v>
      </c>
      <c r="K66" s="89">
        <v>262.62552599999998</v>
      </c>
      <c r="L66" s="475">
        <f t="shared" si="34"/>
        <v>0</v>
      </c>
      <c r="M66" s="89">
        <f t="shared" si="32"/>
        <v>1791.029702</v>
      </c>
      <c r="N66" s="89">
        <f t="shared" si="35"/>
        <v>1742.4958099999999</v>
      </c>
      <c r="O66" s="546"/>
      <c r="P66" s="178">
        <f t="shared" si="19"/>
        <v>0</v>
      </c>
      <c r="Q66" s="179">
        <f t="shared" si="20"/>
        <v>0</v>
      </c>
    </row>
    <row r="67" spans="1:17" ht="10.35" customHeight="1" x14ac:dyDescent="0.25">
      <c r="A67" s="143" t="s">
        <v>1725</v>
      </c>
      <c r="B67" s="549" t="s">
        <v>1136</v>
      </c>
      <c r="C67" s="602" t="s">
        <v>3031</v>
      </c>
      <c r="D67" s="532" t="s">
        <v>48</v>
      </c>
      <c r="E67" s="89">
        <v>0</v>
      </c>
      <c r="F67" s="89">
        <v>0</v>
      </c>
      <c r="G67" s="475">
        <f t="shared" si="33"/>
        <v>0</v>
      </c>
      <c r="H67" s="89">
        <f t="shared" si="31"/>
        <v>0</v>
      </c>
      <c r="I67" s="89">
        <v>0</v>
      </c>
      <c r="J67" s="89">
        <v>0</v>
      </c>
      <c r="K67" s="89">
        <v>0</v>
      </c>
      <c r="L67" s="475">
        <f t="shared" si="34"/>
        <v>0</v>
      </c>
      <c r="M67" s="89">
        <f t="shared" si="32"/>
        <v>0</v>
      </c>
      <c r="N67" s="89">
        <f t="shared" si="35"/>
        <v>0</v>
      </c>
      <c r="O67" s="546"/>
      <c r="P67" s="178">
        <f t="shared" si="19"/>
        <v>0</v>
      </c>
      <c r="Q67" s="179">
        <f t="shared" si="20"/>
        <v>0</v>
      </c>
    </row>
    <row r="68" spans="1:17" ht="10.35" customHeight="1" x14ac:dyDescent="0.25">
      <c r="A68" s="143" t="s">
        <v>1726</v>
      </c>
      <c r="B68" s="549" t="s">
        <v>1137</v>
      </c>
      <c r="C68" s="602" t="s">
        <v>3032</v>
      </c>
      <c r="D68" s="532" t="s">
        <v>48</v>
      </c>
      <c r="E68" s="89">
        <v>3490.3220000000001</v>
      </c>
      <c r="F68" s="89">
        <v>243.886</v>
      </c>
      <c r="G68" s="475">
        <f t="shared" si="33"/>
        <v>-205.91</v>
      </c>
      <c r="H68" s="89">
        <f t="shared" si="31"/>
        <v>3528.2980000000002</v>
      </c>
      <c r="I68" s="89">
        <v>417.99030599999998</v>
      </c>
      <c r="J68" s="89">
        <v>2564.3502309999999</v>
      </c>
      <c r="K68" s="89">
        <v>514.20967700000006</v>
      </c>
      <c r="L68" s="475">
        <f t="shared" si="34"/>
        <v>0</v>
      </c>
      <c r="M68" s="89">
        <f t="shared" si="32"/>
        <v>7024.8482140000006</v>
      </c>
      <c r="N68" s="89">
        <f t="shared" si="35"/>
        <v>3946.2883060000004</v>
      </c>
      <c r="O68" s="546"/>
      <c r="P68" s="178">
        <f t="shared" si="19"/>
        <v>0</v>
      </c>
      <c r="Q68" s="179">
        <f t="shared" si="20"/>
        <v>0</v>
      </c>
    </row>
    <row r="69" spans="1:17" ht="10.35" customHeight="1" x14ac:dyDescent="0.25">
      <c r="A69" s="143" t="s">
        <v>1727</v>
      </c>
      <c r="B69" s="549" t="s">
        <v>1138</v>
      </c>
      <c r="C69" s="602" t="s">
        <v>3056</v>
      </c>
      <c r="D69" s="532" t="s">
        <v>48</v>
      </c>
      <c r="E69" s="89">
        <v>142.51599999999999</v>
      </c>
      <c r="F69" s="89">
        <v>0</v>
      </c>
      <c r="G69" s="475">
        <f t="shared" si="33"/>
        <v>0</v>
      </c>
      <c r="H69" s="89">
        <f t="shared" si="31"/>
        <v>142.51599999999999</v>
      </c>
      <c r="I69" s="89">
        <v>0</v>
      </c>
      <c r="J69" s="89">
        <v>0</v>
      </c>
      <c r="K69" s="89">
        <v>0</v>
      </c>
      <c r="L69" s="475">
        <f t="shared" si="34"/>
        <v>0</v>
      </c>
      <c r="M69" s="89">
        <f t="shared" si="32"/>
        <v>142.51599999999999</v>
      </c>
      <c r="N69" s="89">
        <f t="shared" si="35"/>
        <v>142.51599999999999</v>
      </c>
      <c r="O69" s="546"/>
      <c r="P69" s="178">
        <f t="shared" si="19"/>
        <v>0</v>
      </c>
      <c r="Q69" s="179">
        <f t="shared" si="20"/>
        <v>0</v>
      </c>
    </row>
    <row r="70" spans="1:17" ht="10.35" customHeight="1" x14ac:dyDescent="0.25">
      <c r="A70" s="143" t="s">
        <v>1728</v>
      </c>
      <c r="B70" s="549" t="s">
        <v>1139</v>
      </c>
      <c r="C70" s="602" t="s">
        <v>3034</v>
      </c>
      <c r="D70" s="532" t="s">
        <v>48</v>
      </c>
      <c r="E70" s="89">
        <v>24566.798999999999</v>
      </c>
      <c r="F70" s="89">
        <v>-72.108999999999995</v>
      </c>
      <c r="G70" s="475">
        <f t="shared" si="33"/>
        <v>0</v>
      </c>
      <c r="H70" s="89">
        <f t="shared" si="31"/>
        <v>24494.69</v>
      </c>
      <c r="I70" s="89">
        <v>695.636978</v>
      </c>
      <c r="J70" s="89">
        <v>61.886830000000003</v>
      </c>
      <c r="K70" s="89">
        <v>712.35221799999999</v>
      </c>
      <c r="L70" s="475">
        <f t="shared" si="34"/>
        <v>0</v>
      </c>
      <c r="M70" s="89">
        <f t="shared" si="32"/>
        <v>25964.566025999997</v>
      </c>
      <c r="N70" s="89">
        <f t="shared" si="35"/>
        <v>25190.326977999997</v>
      </c>
      <c r="O70" s="546"/>
      <c r="P70" s="178">
        <f t="shared" si="19"/>
        <v>0</v>
      </c>
      <c r="Q70" s="179">
        <f t="shared" si="20"/>
        <v>0</v>
      </c>
    </row>
    <row r="71" spans="1:17" ht="15" customHeight="1" x14ac:dyDescent="0.25">
      <c r="A71" s="143" t="s">
        <v>1729</v>
      </c>
      <c r="B71" s="547" t="s">
        <v>197</v>
      </c>
      <c r="C71" s="601" t="s">
        <v>3057</v>
      </c>
      <c r="D71" s="532" t="s">
        <v>48</v>
      </c>
      <c r="E71" s="89">
        <f>IF(OR(E72="NA",E73="NA",E74="NA",E75="NA",E76="NA",E77="NA",E78="NA",),"NA",IF(AND(E72="",E73="",E74="",E75="",E76="",E77="",E78="",E79=""),"",SUM(E72:E79)))</f>
        <v>4188.0809999999992</v>
      </c>
      <c r="F71" s="89">
        <f>IF(OR(F72="NA",F73="NA",F74="NA",F75="NA",F76="NA",F77="NA",F78="NA",),"NA",IF(AND(F72="",F73="",F74="",F75="",F76="",F77="",F78="",F79=""),"",SUM(F72:F79)))</f>
        <v>2.4E-2</v>
      </c>
      <c r="G71" s="477">
        <v>0</v>
      </c>
      <c r="H71" s="89">
        <f>IF(OR(H72="NA",H73="NA",H74="NA",H75="NA",H76="NA",H77="NA",H78="NA",),"NA",IF(AND(H72="",H73="",H74="",H75="",H76="",H77="",H78="",H79=""),"",SUM(H72:H79)))</f>
        <v>4188.1049999999996</v>
      </c>
      <c r="I71" s="89">
        <f>IF(OR(I72="NA",I73="NA",I74="NA",I75="NA",I76="NA",I77="NA",I78="NA",),"NA",IF(AND(I72="",I73="",I74="",I75="",I76="",I77="",I78="",I79=""),"",SUM(I72:I79)))</f>
        <v>0.28208499999999997</v>
      </c>
      <c r="J71" s="89">
        <f>IF(OR(J72="NA",J73="NA",J74="NA",J75="NA",J76="NA",J77="NA",J78="NA",),"NA",IF(AND(J72="",J73="",J74="",J75="",J76="",J77="",J78="",J79=""),"",SUM(J72:J79)))</f>
        <v>-0.27287099999999853</v>
      </c>
      <c r="K71" s="89">
        <f>IF(OR(K72="NA",K73="NA",K74="NA",K75="NA",K76="NA",K77="NA",K78="NA",),"NA",IF(AND(K72="",K73="",K74="",K75="",K76="",K77="",K78="",K79=""),"",SUM(K72:K79)))</f>
        <v>-260.00190399999997</v>
      </c>
      <c r="L71" s="477">
        <v>0</v>
      </c>
      <c r="M71" s="89">
        <f>IF(OR(M72="NA",M73="NA",M74="NA",M75="NA",M76="NA",M77="NA",M78="NA",),"NA",IF(AND(M72="",M73="",M74="",M75="",M76="",M77="",M78="",M79=""),"",SUM(M72:M79)))</f>
        <v>3928.11231</v>
      </c>
      <c r="N71" s="89">
        <f>IF(OR(N72="NA",N73="NA",N74="NA",N75="NA",N76="NA",N77="NA",N78="NA",),"NA",IF(AND(N72="",N73="",N74="",N75="",N76="",N77="",N78="",N79=""),"",SUM(N72:N79)))</f>
        <v>4188.3870850000003</v>
      </c>
      <c r="O71" s="546"/>
      <c r="P71" s="178">
        <f t="shared" si="19"/>
        <v>0</v>
      </c>
      <c r="Q71" s="179">
        <f t="shared" si="20"/>
        <v>4.5474735088646412E-13</v>
      </c>
    </row>
    <row r="72" spans="1:17" ht="10.35" customHeight="1" x14ac:dyDescent="0.25">
      <c r="A72" s="139" t="s">
        <v>2025</v>
      </c>
      <c r="B72" s="549" t="s">
        <v>1140</v>
      </c>
      <c r="C72" s="602" t="s">
        <v>3058</v>
      </c>
      <c r="D72" s="532" t="s">
        <v>48</v>
      </c>
      <c r="E72" s="508">
        <v>0</v>
      </c>
      <c r="F72" s="508">
        <v>0</v>
      </c>
      <c r="G72" s="617">
        <v>0</v>
      </c>
      <c r="H72" s="508">
        <f t="shared" ref="H72:H79" si="36">IF(OR(E72="NA",F72="NA"),"NA",IF(AND(E72="",F72=""),"",SUM(E72:G72)))</f>
        <v>0</v>
      </c>
      <c r="I72" s="508">
        <v>0</v>
      </c>
      <c r="J72" s="508">
        <v>0</v>
      </c>
      <c r="K72" s="509">
        <v>0</v>
      </c>
      <c r="L72" s="617">
        <v>0</v>
      </c>
      <c r="M72" s="508">
        <f t="shared" ref="M72:M79" si="37">IF(OR(H72="NA",I72="NA",J72="NA",K72="NA"),"NA",IF(AND(H72="",I72="",J72="",K72=""),"",SUM(H72:L72)))</f>
        <v>0</v>
      </c>
      <c r="N72" s="508">
        <f>H72+I72</f>
        <v>0</v>
      </c>
      <c r="O72" s="546"/>
      <c r="P72" s="178">
        <f t="shared" ref="P72:P79" si="38">IF(OR(H72="NA",E72="NA",F72="NA",G72="NA"),"NA",SUM(H72)-SUM(E72:G72))</f>
        <v>0</v>
      </c>
      <c r="Q72" s="179">
        <f t="shared" ref="Q72:Q79" si="39">IF(OR(M72="NA",H72="NA",I72="NA",J72="NA",K72="NA",L72="NA"),"NA",SUM(M72)-SUM(H72:L72))</f>
        <v>0</v>
      </c>
    </row>
    <row r="73" spans="1:17" ht="10.35" customHeight="1" x14ac:dyDescent="0.25">
      <c r="A73" s="143" t="s">
        <v>1730</v>
      </c>
      <c r="B73" s="549" t="s">
        <v>1141</v>
      </c>
      <c r="C73" s="602" t="s">
        <v>3028</v>
      </c>
      <c r="D73" s="532" t="s">
        <v>48</v>
      </c>
      <c r="E73" s="89">
        <v>0</v>
      </c>
      <c r="F73" s="89">
        <v>0</v>
      </c>
      <c r="G73" s="473">
        <v>0</v>
      </c>
      <c r="H73" s="89">
        <f t="shared" si="36"/>
        <v>0</v>
      </c>
      <c r="I73" s="89">
        <v>0</v>
      </c>
      <c r="J73" s="89">
        <v>0</v>
      </c>
      <c r="K73" s="93">
        <v>0</v>
      </c>
      <c r="L73" s="473">
        <v>0</v>
      </c>
      <c r="M73" s="89">
        <f t="shared" si="37"/>
        <v>0</v>
      </c>
      <c r="N73" s="508">
        <f t="shared" ref="N73:N79" si="40">H73+I73</f>
        <v>0</v>
      </c>
      <c r="O73" s="546"/>
      <c r="P73" s="178">
        <f t="shared" si="38"/>
        <v>0</v>
      </c>
      <c r="Q73" s="179">
        <f t="shared" si="39"/>
        <v>0</v>
      </c>
    </row>
    <row r="74" spans="1:17" ht="10.35" customHeight="1" x14ac:dyDescent="0.25">
      <c r="A74" s="143" t="s">
        <v>1731</v>
      </c>
      <c r="B74" s="549" t="s">
        <v>1142</v>
      </c>
      <c r="C74" s="602" t="s">
        <v>3059</v>
      </c>
      <c r="D74" s="532" t="s">
        <v>48</v>
      </c>
      <c r="E74" s="89">
        <v>675.84400000000005</v>
      </c>
      <c r="F74" s="89">
        <v>0</v>
      </c>
      <c r="G74" s="473">
        <v>0</v>
      </c>
      <c r="H74" s="89">
        <f t="shared" si="36"/>
        <v>675.84400000000005</v>
      </c>
      <c r="I74" s="89">
        <v>0</v>
      </c>
      <c r="J74" s="89">
        <v>77.607714000000001</v>
      </c>
      <c r="K74" s="93">
        <v>5.3164999999999997E-2</v>
      </c>
      <c r="L74" s="473">
        <v>0</v>
      </c>
      <c r="M74" s="89">
        <f t="shared" si="37"/>
        <v>753.50487900000007</v>
      </c>
      <c r="N74" s="508">
        <f t="shared" si="40"/>
        <v>675.84400000000005</v>
      </c>
      <c r="O74" s="546"/>
      <c r="P74" s="178">
        <f t="shared" si="38"/>
        <v>0</v>
      </c>
      <c r="Q74" s="179">
        <f t="shared" si="39"/>
        <v>0</v>
      </c>
    </row>
    <row r="75" spans="1:17" ht="10.35" customHeight="1" x14ac:dyDescent="0.25">
      <c r="A75" s="143" t="s">
        <v>1732</v>
      </c>
      <c r="B75" s="549" t="s">
        <v>1143</v>
      </c>
      <c r="C75" s="602" t="s">
        <v>3060</v>
      </c>
      <c r="D75" s="532" t="s">
        <v>48</v>
      </c>
      <c r="E75" s="89">
        <v>3512.529</v>
      </c>
      <c r="F75" s="89">
        <v>0</v>
      </c>
      <c r="G75" s="473">
        <v>0</v>
      </c>
      <c r="H75" s="89">
        <f t="shared" si="36"/>
        <v>3512.529</v>
      </c>
      <c r="I75" s="89">
        <v>0.28208499999999997</v>
      </c>
      <c r="J75" s="89">
        <v>-67.776387</v>
      </c>
      <c r="K75" s="93">
        <v>-259.55911099999997</v>
      </c>
      <c r="L75" s="473">
        <v>0</v>
      </c>
      <c r="M75" s="89">
        <f t="shared" si="37"/>
        <v>3185.4755869999999</v>
      </c>
      <c r="N75" s="508">
        <f t="shared" si="40"/>
        <v>3512.8110849999998</v>
      </c>
      <c r="O75" s="546"/>
      <c r="P75" s="178">
        <f t="shared" si="38"/>
        <v>0</v>
      </c>
      <c r="Q75" s="179">
        <f t="shared" si="39"/>
        <v>0</v>
      </c>
    </row>
    <row r="76" spans="1:17" ht="10.35" customHeight="1" x14ac:dyDescent="0.25">
      <c r="A76" s="143" t="s">
        <v>1733</v>
      </c>
      <c r="B76" s="549" t="s">
        <v>1144</v>
      </c>
      <c r="C76" s="602" t="s">
        <v>3061</v>
      </c>
      <c r="D76" s="532" t="s">
        <v>48</v>
      </c>
      <c r="E76" s="89">
        <v>0</v>
      </c>
      <c r="F76" s="89">
        <v>0</v>
      </c>
      <c r="G76" s="473">
        <v>0</v>
      </c>
      <c r="H76" s="89">
        <f t="shared" si="36"/>
        <v>0</v>
      </c>
      <c r="I76" s="89">
        <v>0</v>
      </c>
      <c r="J76" s="89">
        <v>0</v>
      </c>
      <c r="K76" s="93">
        <v>0</v>
      </c>
      <c r="L76" s="473">
        <v>0</v>
      </c>
      <c r="M76" s="89">
        <f t="shared" si="37"/>
        <v>0</v>
      </c>
      <c r="N76" s="508">
        <f t="shared" si="40"/>
        <v>0</v>
      </c>
      <c r="O76" s="546"/>
      <c r="P76" s="178">
        <f t="shared" si="38"/>
        <v>0</v>
      </c>
      <c r="Q76" s="179">
        <f t="shared" si="39"/>
        <v>0</v>
      </c>
    </row>
    <row r="77" spans="1:17" ht="10.35" customHeight="1" x14ac:dyDescent="0.25">
      <c r="A77" s="143" t="s">
        <v>1734</v>
      </c>
      <c r="B77" s="549" t="s">
        <v>1145</v>
      </c>
      <c r="C77" s="602" t="s">
        <v>3038</v>
      </c>
      <c r="D77" s="532" t="s">
        <v>48</v>
      </c>
      <c r="E77" s="89">
        <v>0</v>
      </c>
      <c r="F77" s="89">
        <v>0</v>
      </c>
      <c r="G77" s="473">
        <v>0</v>
      </c>
      <c r="H77" s="89">
        <f t="shared" si="36"/>
        <v>0</v>
      </c>
      <c r="I77" s="89">
        <v>0</v>
      </c>
      <c r="J77" s="89">
        <v>0</v>
      </c>
      <c r="K77" s="93">
        <v>0</v>
      </c>
      <c r="L77" s="473">
        <v>0</v>
      </c>
      <c r="M77" s="89">
        <f t="shared" si="37"/>
        <v>0</v>
      </c>
      <c r="N77" s="508">
        <f t="shared" si="40"/>
        <v>0</v>
      </c>
      <c r="O77" s="546"/>
      <c r="P77" s="178">
        <f t="shared" si="38"/>
        <v>0</v>
      </c>
      <c r="Q77" s="179">
        <f t="shared" si="39"/>
        <v>0</v>
      </c>
    </row>
    <row r="78" spans="1:17" ht="10.35" customHeight="1" x14ac:dyDescent="0.25">
      <c r="A78" s="143" t="s">
        <v>1735</v>
      </c>
      <c r="B78" s="549" t="s">
        <v>1146</v>
      </c>
      <c r="C78" s="602" t="s">
        <v>3062</v>
      </c>
      <c r="D78" s="532" t="s">
        <v>48</v>
      </c>
      <c r="E78" s="89">
        <v>0</v>
      </c>
      <c r="F78" s="89">
        <v>0</v>
      </c>
      <c r="G78" s="473">
        <v>0</v>
      </c>
      <c r="H78" s="89">
        <f t="shared" si="36"/>
        <v>0</v>
      </c>
      <c r="I78" s="89">
        <v>0</v>
      </c>
      <c r="J78" s="89">
        <v>0</v>
      </c>
      <c r="K78" s="93">
        <v>0</v>
      </c>
      <c r="L78" s="473">
        <v>0</v>
      </c>
      <c r="M78" s="89">
        <f t="shared" si="37"/>
        <v>0</v>
      </c>
      <c r="N78" s="508">
        <f t="shared" si="40"/>
        <v>0</v>
      </c>
      <c r="O78" s="546"/>
      <c r="P78" s="178">
        <f t="shared" si="38"/>
        <v>0</v>
      </c>
      <c r="Q78" s="179">
        <f t="shared" si="39"/>
        <v>0</v>
      </c>
    </row>
    <row r="79" spans="1:17" ht="10.35" customHeight="1" x14ac:dyDescent="0.25">
      <c r="A79" s="143" t="s">
        <v>1736</v>
      </c>
      <c r="B79" s="536" t="s">
        <v>1147</v>
      </c>
      <c r="C79" s="608" t="s">
        <v>3063</v>
      </c>
      <c r="D79" s="537" t="s">
        <v>48</v>
      </c>
      <c r="E79" s="146">
        <v>-0.29199999999999998</v>
      </c>
      <c r="F79" s="146">
        <v>2.4E-2</v>
      </c>
      <c r="G79" s="474">
        <v>0</v>
      </c>
      <c r="H79" s="146">
        <f t="shared" si="36"/>
        <v>-0.26799999999999996</v>
      </c>
      <c r="I79" s="146">
        <v>0</v>
      </c>
      <c r="J79" s="146">
        <v>-10.104198</v>
      </c>
      <c r="K79" s="147">
        <v>-0.49595800000000001</v>
      </c>
      <c r="L79" s="474">
        <v>0</v>
      </c>
      <c r="M79" s="146">
        <f t="shared" si="37"/>
        <v>-10.868156000000001</v>
      </c>
      <c r="N79" s="508">
        <f t="shared" si="40"/>
        <v>-0.26799999999999996</v>
      </c>
      <c r="O79" s="546"/>
      <c r="P79" s="188">
        <f t="shared" si="38"/>
        <v>0</v>
      </c>
      <c r="Q79" s="189">
        <f t="shared" si="39"/>
        <v>0</v>
      </c>
    </row>
    <row r="80" spans="1:17" ht="13.5" customHeight="1" x14ac:dyDescent="0.25">
      <c r="A80" s="143"/>
      <c r="B80" s="591" t="s">
        <v>990</v>
      </c>
      <c r="C80" s="568" t="s">
        <v>2768</v>
      </c>
      <c r="D80" s="532"/>
      <c r="E80" s="652" t="s">
        <v>990</v>
      </c>
      <c r="F80" s="652" t="s">
        <v>990</v>
      </c>
      <c r="G80" s="652" t="s">
        <v>990</v>
      </c>
      <c r="H80" s="652" t="s">
        <v>990</v>
      </c>
      <c r="I80" s="652" t="s">
        <v>990</v>
      </c>
      <c r="J80" s="652" t="s">
        <v>990</v>
      </c>
      <c r="K80" s="652" t="s">
        <v>990</v>
      </c>
      <c r="L80" s="652" t="s">
        <v>990</v>
      </c>
      <c r="M80" s="652" t="s">
        <v>990</v>
      </c>
      <c r="N80" s="652" t="s">
        <v>990</v>
      </c>
      <c r="O80" s="546"/>
      <c r="P80" s="178"/>
      <c r="Q80" s="179"/>
    </row>
    <row r="81" spans="1:17" ht="10.35" customHeight="1" x14ac:dyDescent="0.25">
      <c r="A81" s="143" t="s">
        <v>2026</v>
      </c>
      <c r="B81" s="549" t="s">
        <v>416</v>
      </c>
      <c r="C81" s="550" t="s">
        <v>3064</v>
      </c>
      <c r="D81" s="532" t="s">
        <v>48</v>
      </c>
      <c r="E81" s="89"/>
      <c r="F81" s="89"/>
      <c r="G81" s="89"/>
      <c r="H81" s="89"/>
      <c r="I81" s="89"/>
      <c r="J81" s="89"/>
      <c r="K81" s="89"/>
      <c r="L81" s="89"/>
      <c r="M81" s="89"/>
      <c r="N81" s="89"/>
      <c r="O81" s="546"/>
      <c r="P81" s="178">
        <f t="shared" ref="P81:P99" si="41">IF(OR(H81="NA",E81="NA",F81="NA",G81="NA"),"NA",SUM(H81)-SUM(E81:G81))</f>
        <v>0</v>
      </c>
      <c r="Q81" s="179">
        <f t="shared" ref="Q81:Q99" si="42">IF(OR(M81="NA",H81="NA",I81="NA",J81="NA",K81="NA",L81="NA"),"NA",SUM(M81)-SUM(H81:L81))</f>
        <v>0</v>
      </c>
    </row>
    <row r="82" spans="1:17" ht="10.35" customHeight="1" x14ac:dyDescent="0.25">
      <c r="A82" s="143" t="s">
        <v>2027</v>
      </c>
      <c r="B82" s="549" t="s">
        <v>1148</v>
      </c>
      <c r="C82" s="602" t="s">
        <v>3065</v>
      </c>
      <c r="D82" s="532" t="s">
        <v>48</v>
      </c>
      <c r="E82" s="89"/>
      <c r="F82" s="89"/>
      <c r="G82" s="89"/>
      <c r="H82" s="89"/>
      <c r="I82" s="89"/>
      <c r="J82" s="89"/>
      <c r="K82" s="89"/>
      <c r="L82" s="89"/>
      <c r="M82" s="89"/>
      <c r="N82" s="89"/>
      <c r="O82" s="546"/>
      <c r="P82" s="178">
        <f t="shared" si="41"/>
        <v>0</v>
      </c>
      <c r="Q82" s="179">
        <f t="shared" si="42"/>
        <v>0</v>
      </c>
    </row>
    <row r="83" spans="1:17" ht="10.35" customHeight="1" x14ac:dyDescent="0.25">
      <c r="A83" s="143" t="s">
        <v>2028</v>
      </c>
      <c r="B83" s="549" t="s">
        <v>1149</v>
      </c>
      <c r="C83" s="602" t="s">
        <v>3066</v>
      </c>
      <c r="D83" s="532" t="s">
        <v>48</v>
      </c>
      <c r="E83" s="89"/>
      <c r="F83" s="89"/>
      <c r="G83" s="89"/>
      <c r="H83" s="89"/>
      <c r="I83" s="89"/>
      <c r="J83" s="89"/>
      <c r="K83" s="89"/>
      <c r="L83" s="89"/>
      <c r="M83" s="89"/>
      <c r="N83" s="89"/>
      <c r="O83" s="546"/>
      <c r="P83" s="178">
        <f t="shared" si="41"/>
        <v>0</v>
      </c>
      <c r="Q83" s="179">
        <f t="shared" si="42"/>
        <v>0</v>
      </c>
    </row>
    <row r="84" spans="1:17" ht="10.35" customHeight="1" x14ac:dyDescent="0.25">
      <c r="A84" s="143" t="s">
        <v>2029</v>
      </c>
      <c r="B84" s="549" t="s">
        <v>1150</v>
      </c>
      <c r="C84" s="602" t="s">
        <v>3067</v>
      </c>
      <c r="D84" s="532" t="s">
        <v>48</v>
      </c>
      <c r="E84" s="89"/>
      <c r="F84" s="89"/>
      <c r="G84" s="89"/>
      <c r="H84" s="89"/>
      <c r="I84" s="89"/>
      <c r="J84" s="89"/>
      <c r="K84" s="89"/>
      <c r="L84" s="89"/>
      <c r="M84" s="89"/>
      <c r="N84" s="89"/>
      <c r="O84" s="546"/>
      <c r="P84" s="178">
        <f t="shared" si="41"/>
        <v>0</v>
      </c>
      <c r="Q84" s="179">
        <f t="shared" si="42"/>
        <v>0</v>
      </c>
    </row>
    <row r="85" spans="1:17" ht="10.35" customHeight="1" x14ac:dyDescent="0.25">
      <c r="A85" s="143" t="s">
        <v>2030</v>
      </c>
      <c r="B85" s="549" t="s">
        <v>417</v>
      </c>
      <c r="C85" s="550" t="s">
        <v>3068</v>
      </c>
      <c r="D85" s="532" t="s">
        <v>48</v>
      </c>
      <c r="E85" s="89"/>
      <c r="F85" s="89"/>
      <c r="G85" s="89"/>
      <c r="H85" s="89"/>
      <c r="I85" s="89"/>
      <c r="J85" s="89"/>
      <c r="K85" s="89"/>
      <c r="L85" s="89"/>
      <c r="M85" s="89"/>
      <c r="N85" s="89"/>
      <c r="O85" s="546"/>
      <c r="P85" s="178">
        <f t="shared" si="41"/>
        <v>0</v>
      </c>
      <c r="Q85" s="179">
        <f t="shared" si="42"/>
        <v>0</v>
      </c>
    </row>
    <row r="86" spans="1:17" ht="10.35" customHeight="1" x14ac:dyDescent="0.25">
      <c r="A86" s="143" t="s">
        <v>2031</v>
      </c>
      <c r="B86" s="549" t="s">
        <v>1151</v>
      </c>
      <c r="C86" s="602" t="s">
        <v>3069</v>
      </c>
      <c r="D86" s="532" t="s">
        <v>48</v>
      </c>
      <c r="E86" s="89"/>
      <c r="F86" s="89"/>
      <c r="G86" s="89"/>
      <c r="H86" s="89"/>
      <c r="I86" s="89"/>
      <c r="J86" s="89"/>
      <c r="K86" s="89"/>
      <c r="L86" s="89"/>
      <c r="M86" s="89"/>
      <c r="N86" s="89"/>
      <c r="O86" s="546"/>
      <c r="P86" s="178">
        <f t="shared" si="41"/>
        <v>0</v>
      </c>
      <c r="Q86" s="179">
        <f t="shared" si="42"/>
        <v>0</v>
      </c>
    </row>
    <row r="87" spans="1:17" ht="10.35" customHeight="1" x14ac:dyDescent="0.25">
      <c r="A87" s="143" t="s">
        <v>2032</v>
      </c>
      <c r="B87" s="549" t="s">
        <v>1152</v>
      </c>
      <c r="C87" s="602" t="s">
        <v>3070</v>
      </c>
      <c r="D87" s="532" t="s">
        <v>48</v>
      </c>
      <c r="E87" s="89"/>
      <c r="F87" s="89"/>
      <c r="G87" s="89"/>
      <c r="H87" s="89"/>
      <c r="I87" s="89"/>
      <c r="J87" s="89"/>
      <c r="K87" s="89"/>
      <c r="L87" s="89"/>
      <c r="M87" s="89"/>
      <c r="N87" s="89"/>
      <c r="O87" s="546"/>
      <c r="P87" s="178">
        <f t="shared" si="41"/>
        <v>0</v>
      </c>
      <c r="Q87" s="179">
        <f t="shared" si="42"/>
        <v>0</v>
      </c>
    </row>
    <row r="88" spans="1:17" ht="10.35" customHeight="1" x14ac:dyDescent="0.25">
      <c r="A88" s="143" t="s">
        <v>2033</v>
      </c>
      <c r="B88" s="549" t="s">
        <v>1153</v>
      </c>
      <c r="C88" s="602" t="s">
        <v>3071</v>
      </c>
      <c r="D88" s="532" t="s">
        <v>48</v>
      </c>
      <c r="E88" s="89"/>
      <c r="F88" s="89"/>
      <c r="G88" s="89"/>
      <c r="H88" s="89"/>
      <c r="I88" s="89"/>
      <c r="J88" s="89"/>
      <c r="K88" s="89"/>
      <c r="L88" s="89"/>
      <c r="M88" s="89"/>
      <c r="N88" s="89"/>
      <c r="O88" s="546"/>
      <c r="P88" s="178">
        <f t="shared" si="41"/>
        <v>0</v>
      </c>
      <c r="Q88" s="179">
        <f t="shared" si="42"/>
        <v>0</v>
      </c>
    </row>
    <row r="89" spans="1:17" s="271" customFormat="1" ht="10.35" customHeight="1" x14ac:dyDescent="0.25">
      <c r="A89" s="139" t="s">
        <v>1949</v>
      </c>
      <c r="B89" s="551" t="s">
        <v>1154</v>
      </c>
      <c r="C89" s="552" t="s">
        <v>3072</v>
      </c>
      <c r="D89" s="553" t="s">
        <v>48</v>
      </c>
      <c r="E89" s="478">
        <f>+IF(ISBLANK(Table2!E15),"",Table2!E15)</f>
        <v>4036.1440440000001</v>
      </c>
      <c r="F89" s="478">
        <f>+IF(ISBLANK(Table2!F15),"",Table2!F15)</f>
        <v>80.038404</v>
      </c>
      <c r="G89" s="478">
        <f>+IF(ISBLANK(Table2!G15),"",Table2!G15)</f>
        <v>0</v>
      </c>
      <c r="H89" s="478">
        <f>+IF(ISBLANK(Table2!H15),"",Table2!H15)</f>
        <v>4116.1824480000005</v>
      </c>
      <c r="I89" s="478">
        <f>+IF(ISBLANK(Table2!I15),"",Table2!I15)</f>
        <v>4.0207750000000004</v>
      </c>
      <c r="J89" s="478">
        <f>+IF(ISBLANK(Table2!J15),"",Table2!J15)</f>
        <v>1181.7842942601301</v>
      </c>
      <c r="K89" s="478">
        <f>+IF(ISBLANK(Table2!K15),"",Table2!K15)</f>
        <v>4839.9525679999997</v>
      </c>
      <c r="L89" s="478">
        <f>+IF(ISBLANK(Table2!L15),"",Table2!L15)</f>
        <v>0</v>
      </c>
      <c r="M89" s="478">
        <f>+IF(ISBLANK(Table2!M15),"",Table2!M15)</f>
        <v>10141.94008526013</v>
      </c>
      <c r="N89" s="478">
        <f>+IF(ISBLANK(Table2!N15),"",Table2!N15)</f>
        <v>4120.2032230000004</v>
      </c>
      <c r="O89" s="546"/>
      <c r="P89" s="378">
        <f t="shared" si="41"/>
        <v>0</v>
      </c>
      <c r="Q89" s="379">
        <f t="shared" si="42"/>
        <v>0</v>
      </c>
    </row>
    <row r="90" spans="1:17" s="271" customFormat="1" ht="10.35" hidden="1" customHeight="1" x14ac:dyDescent="0.25">
      <c r="A90" s="139" t="s">
        <v>1737</v>
      </c>
      <c r="B90" s="549" t="s">
        <v>1</v>
      </c>
      <c r="C90" s="550" t="s">
        <v>3073</v>
      </c>
      <c r="D90" s="532" t="s">
        <v>48</v>
      </c>
      <c r="E90" s="424" t="s">
        <v>2622</v>
      </c>
      <c r="F90" s="424" t="s">
        <v>2622</v>
      </c>
      <c r="G90" s="424" t="s">
        <v>2622</v>
      </c>
      <c r="H90" s="424" t="s">
        <v>2622</v>
      </c>
      <c r="I90" s="424" t="s">
        <v>2622</v>
      </c>
      <c r="J90" s="424" t="s">
        <v>2622</v>
      </c>
      <c r="K90" s="424" t="s">
        <v>2622</v>
      </c>
      <c r="L90" s="424" t="s">
        <v>2622</v>
      </c>
      <c r="M90" s="424" t="s">
        <v>2622</v>
      </c>
      <c r="N90" s="424" t="s">
        <v>2622</v>
      </c>
      <c r="O90" s="546"/>
      <c r="P90" s="376" t="str">
        <f t="shared" si="41"/>
        <v>NA</v>
      </c>
      <c r="Q90" s="377" t="str">
        <f t="shared" si="42"/>
        <v>NA</v>
      </c>
    </row>
    <row r="91" spans="1:17" s="271" customFormat="1" ht="10.35" hidden="1" customHeight="1" x14ac:dyDescent="0.25">
      <c r="A91" s="139" t="s">
        <v>1738</v>
      </c>
      <c r="B91" s="549" t="s">
        <v>2</v>
      </c>
      <c r="C91" s="602" t="s">
        <v>3074</v>
      </c>
      <c r="D91" s="532" t="s">
        <v>48</v>
      </c>
      <c r="E91" s="424" t="s">
        <v>2622</v>
      </c>
      <c r="F91" s="424" t="s">
        <v>2622</v>
      </c>
      <c r="G91" s="424" t="s">
        <v>2622</v>
      </c>
      <c r="H91" s="424" t="s">
        <v>2622</v>
      </c>
      <c r="I91" s="424" t="s">
        <v>2622</v>
      </c>
      <c r="J91" s="424" t="s">
        <v>2622</v>
      </c>
      <c r="K91" s="424" t="s">
        <v>2622</v>
      </c>
      <c r="L91" s="424" t="s">
        <v>2622</v>
      </c>
      <c r="M91" s="424" t="s">
        <v>2622</v>
      </c>
      <c r="N91" s="424" t="s">
        <v>2622</v>
      </c>
      <c r="O91" s="546"/>
      <c r="P91" s="376" t="str">
        <f t="shared" si="41"/>
        <v>NA</v>
      </c>
      <c r="Q91" s="377" t="str">
        <f t="shared" si="42"/>
        <v>NA</v>
      </c>
    </row>
    <row r="92" spans="1:17" s="271" customFormat="1" ht="10.35" hidden="1" customHeight="1" x14ac:dyDescent="0.25">
      <c r="A92" s="139" t="s">
        <v>1739</v>
      </c>
      <c r="B92" s="549" t="s">
        <v>3</v>
      </c>
      <c r="C92" s="602" t="s">
        <v>3075</v>
      </c>
      <c r="D92" s="532" t="s">
        <v>48</v>
      </c>
      <c r="E92" s="424" t="s">
        <v>2622</v>
      </c>
      <c r="F92" s="424" t="s">
        <v>2622</v>
      </c>
      <c r="G92" s="424" t="s">
        <v>2622</v>
      </c>
      <c r="H92" s="424" t="s">
        <v>2622</v>
      </c>
      <c r="I92" s="424" t="s">
        <v>2622</v>
      </c>
      <c r="J92" s="424" t="s">
        <v>2622</v>
      </c>
      <c r="K92" s="424" t="s">
        <v>2622</v>
      </c>
      <c r="L92" s="424" t="s">
        <v>2622</v>
      </c>
      <c r="M92" s="424" t="s">
        <v>2622</v>
      </c>
      <c r="N92" s="424" t="s">
        <v>2622</v>
      </c>
      <c r="O92" s="546"/>
      <c r="P92" s="376" t="str">
        <f t="shared" si="41"/>
        <v>NA</v>
      </c>
      <c r="Q92" s="377" t="str">
        <f t="shared" si="42"/>
        <v>NA</v>
      </c>
    </row>
    <row r="93" spans="1:17" s="271" customFormat="1" ht="10.35" hidden="1" customHeight="1" x14ac:dyDescent="0.25">
      <c r="A93" s="139" t="s">
        <v>1740</v>
      </c>
      <c r="B93" s="549" t="s">
        <v>4</v>
      </c>
      <c r="C93" s="602" t="s">
        <v>3072</v>
      </c>
      <c r="D93" s="532" t="s">
        <v>48</v>
      </c>
      <c r="E93" s="424" t="s">
        <v>2622</v>
      </c>
      <c r="F93" s="424" t="s">
        <v>2622</v>
      </c>
      <c r="G93" s="424" t="s">
        <v>2622</v>
      </c>
      <c r="H93" s="424" t="s">
        <v>2622</v>
      </c>
      <c r="I93" s="424" t="s">
        <v>2622</v>
      </c>
      <c r="J93" s="424" t="s">
        <v>2622</v>
      </c>
      <c r="K93" s="424" t="s">
        <v>2622</v>
      </c>
      <c r="L93" s="424" t="s">
        <v>2622</v>
      </c>
      <c r="M93" s="424" t="s">
        <v>2622</v>
      </c>
      <c r="N93" s="424" t="s">
        <v>2622</v>
      </c>
      <c r="O93" s="546"/>
      <c r="P93" s="376" t="str">
        <f t="shared" si="41"/>
        <v>NA</v>
      </c>
      <c r="Q93" s="377" t="str">
        <f t="shared" si="42"/>
        <v>NA</v>
      </c>
    </row>
    <row r="94" spans="1:17" s="271" customFormat="1" ht="10.35" hidden="1" customHeight="1" x14ac:dyDescent="0.25">
      <c r="A94" s="139" t="s">
        <v>1741</v>
      </c>
      <c r="B94" s="551" t="s">
        <v>5</v>
      </c>
      <c r="C94" s="605" t="s">
        <v>3076</v>
      </c>
      <c r="D94" s="553" t="s">
        <v>48</v>
      </c>
      <c r="E94" s="424" t="s">
        <v>2622</v>
      </c>
      <c r="F94" s="424" t="s">
        <v>2622</v>
      </c>
      <c r="G94" s="424" t="s">
        <v>2622</v>
      </c>
      <c r="H94" s="424" t="s">
        <v>2622</v>
      </c>
      <c r="I94" s="424" t="s">
        <v>2622</v>
      </c>
      <c r="J94" s="424" t="s">
        <v>2622</v>
      </c>
      <c r="K94" s="424" t="s">
        <v>2622</v>
      </c>
      <c r="L94" s="424" t="s">
        <v>2622</v>
      </c>
      <c r="M94" s="424" t="s">
        <v>2622</v>
      </c>
      <c r="N94" s="424" t="s">
        <v>2622</v>
      </c>
      <c r="O94" s="546"/>
      <c r="P94" s="378" t="str">
        <f t="shared" si="41"/>
        <v>NA</v>
      </c>
      <c r="Q94" s="379" t="str">
        <f t="shared" si="42"/>
        <v>NA</v>
      </c>
    </row>
    <row r="95" spans="1:17" s="271" customFormat="1" ht="10.35" customHeight="1" x14ac:dyDescent="0.25">
      <c r="A95" s="139" t="s">
        <v>1742</v>
      </c>
      <c r="B95" s="549" t="s">
        <v>66</v>
      </c>
      <c r="C95" s="550" t="s">
        <v>3077</v>
      </c>
      <c r="D95" s="532" t="s">
        <v>48</v>
      </c>
      <c r="E95" s="475">
        <f>IF(OR(E22="NA",E49="NA"),"NA",IF(AND(E22="",E49=""),"",SUM(E22)-SUM(E49)))</f>
        <v>-33142.145543926003</v>
      </c>
      <c r="F95" s="475">
        <f t="shared" ref="F95:N95" si="43">IF(OR(F22="NA",F49="NA"),"NA",IF(AND(F22="",F49=""),"",SUM(F22)-SUM(F49)))</f>
        <v>-49.14084900000006</v>
      </c>
      <c r="G95" s="475">
        <f t="shared" si="43"/>
        <v>-1697.5920000000001</v>
      </c>
      <c r="H95" s="475">
        <f t="shared" si="43"/>
        <v>-34888.87839292601</v>
      </c>
      <c r="I95" s="475">
        <f t="shared" si="43"/>
        <v>-1023.0225109999999</v>
      </c>
      <c r="J95" s="475">
        <f t="shared" si="43"/>
        <v>-1017.5858508280003</v>
      </c>
      <c r="K95" s="475">
        <f t="shared" si="43"/>
        <v>8983.5600240200001</v>
      </c>
      <c r="L95" s="475">
        <f t="shared" si="43"/>
        <v>-844.96100000000001</v>
      </c>
      <c r="M95" s="475">
        <f t="shared" si="43"/>
        <v>-28790.887730733994</v>
      </c>
      <c r="N95" s="475">
        <f t="shared" si="43"/>
        <v>-35911.900903925991</v>
      </c>
      <c r="O95" s="546"/>
      <c r="P95" s="376">
        <f t="shared" si="41"/>
        <v>-7.2759576141834259E-12</v>
      </c>
      <c r="Q95" s="377">
        <f t="shared" si="42"/>
        <v>1.8189894035458565E-11</v>
      </c>
    </row>
    <row r="96" spans="1:17" s="271" customFormat="1" ht="10.35" customHeight="1" x14ac:dyDescent="0.25">
      <c r="A96" s="139" t="s">
        <v>2034</v>
      </c>
      <c r="B96" s="549" t="s">
        <v>67</v>
      </c>
      <c r="C96" s="550" t="s">
        <v>3078</v>
      </c>
      <c r="D96" s="532" t="s">
        <v>48</v>
      </c>
      <c r="E96" s="475" t="str">
        <f>IF(OR(E97="NA",E55="NA"),"NA",IF(OR(E97="",E55=""),"",SUM(E97)+SUM(E55)))</f>
        <v>NA</v>
      </c>
      <c r="F96" s="475" t="str">
        <f t="shared" ref="F96:N96" si="44">IF(OR(F97="NA",F55="NA"),"NA",IF(OR(F97="",F55=""),"",SUM(F97)+SUM(F55)))</f>
        <v>NA</v>
      </c>
      <c r="G96" s="475" t="str">
        <f t="shared" si="44"/>
        <v>NA</v>
      </c>
      <c r="H96" s="475" t="str">
        <f t="shared" si="44"/>
        <v>NA</v>
      </c>
      <c r="I96" s="475" t="str">
        <f t="shared" si="44"/>
        <v>NA</v>
      </c>
      <c r="J96" s="475" t="str">
        <f t="shared" si="44"/>
        <v>NA</v>
      </c>
      <c r="K96" s="475" t="str">
        <f t="shared" si="44"/>
        <v>NA</v>
      </c>
      <c r="L96" s="475" t="str">
        <f t="shared" si="44"/>
        <v>NA</v>
      </c>
      <c r="M96" s="475" t="str">
        <f t="shared" si="44"/>
        <v>NA</v>
      </c>
      <c r="N96" s="475" t="str">
        <f t="shared" si="44"/>
        <v>NA</v>
      </c>
      <c r="O96" s="546"/>
      <c r="P96" s="376" t="str">
        <f t="shared" si="41"/>
        <v>NA</v>
      </c>
      <c r="Q96" s="377" t="str">
        <f t="shared" si="42"/>
        <v>NA</v>
      </c>
    </row>
    <row r="97" spans="1:17" s="271" customFormat="1" ht="10.35" customHeight="1" x14ac:dyDescent="0.25">
      <c r="A97" s="139" t="s">
        <v>2035</v>
      </c>
      <c r="B97" s="549" t="s">
        <v>658</v>
      </c>
      <c r="C97" s="602" t="s">
        <v>3079</v>
      </c>
      <c r="D97" s="532" t="s">
        <v>48</v>
      </c>
      <c r="E97" s="475" t="s">
        <v>2622</v>
      </c>
      <c r="F97" s="475" t="s">
        <v>2622</v>
      </c>
      <c r="G97" s="475" t="s">
        <v>2622</v>
      </c>
      <c r="H97" s="475" t="s">
        <v>2622</v>
      </c>
      <c r="I97" s="475" t="s">
        <v>2622</v>
      </c>
      <c r="J97" s="475" t="s">
        <v>2622</v>
      </c>
      <c r="K97" s="475" t="s">
        <v>2622</v>
      </c>
      <c r="L97" s="475" t="s">
        <v>2622</v>
      </c>
      <c r="M97" s="475" t="s">
        <v>2622</v>
      </c>
      <c r="N97" s="475" t="s">
        <v>2622</v>
      </c>
      <c r="O97" s="546"/>
      <c r="P97" s="376" t="str">
        <f t="shared" si="41"/>
        <v>NA</v>
      </c>
      <c r="Q97" s="377" t="str">
        <f t="shared" si="42"/>
        <v>NA</v>
      </c>
    </row>
    <row r="98" spans="1:17" s="271" customFormat="1" ht="10.35" customHeight="1" x14ac:dyDescent="0.25">
      <c r="A98" s="139" t="s">
        <v>2036</v>
      </c>
      <c r="B98" s="549" t="s">
        <v>659</v>
      </c>
      <c r="C98" s="602" t="s">
        <v>3080</v>
      </c>
      <c r="D98" s="611" t="s">
        <v>48</v>
      </c>
      <c r="E98" s="475">
        <f>IF(OR(E99="NA",E50="NA",E51="NA"),"NA",IF(OR(E50="",E51=""),"",SUM(E99)+SUM(E50:E51)))</f>
        <v>45089.365000000005</v>
      </c>
      <c r="F98" s="475">
        <f t="shared" ref="F98:N98" si="45">IF(OR(F99="NA",F50="NA",F51="NA"),"NA",IF(OR(F50="",F51=""),"",SUM(F99)+SUM(F50:F51)))</f>
        <v>167.61099999999999</v>
      </c>
      <c r="G98" s="475">
        <f t="shared" si="45"/>
        <v>-9.8800000000000008</v>
      </c>
      <c r="H98" s="475">
        <f t="shared" si="45"/>
        <v>45247.096000000005</v>
      </c>
      <c r="I98" s="475">
        <f t="shared" si="45"/>
        <v>67.744603999999995</v>
      </c>
      <c r="J98" s="475">
        <f t="shared" si="45"/>
        <v>2166.817947</v>
      </c>
      <c r="K98" s="475">
        <f t="shared" si="45"/>
        <v>41.434087000000005</v>
      </c>
      <c r="L98" s="475">
        <f t="shared" si="45"/>
        <v>0</v>
      </c>
      <c r="M98" s="475">
        <f t="shared" si="45"/>
        <v>47523.092638000002</v>
      </c>
      <c r="N98" s="475">
        <f t="shared" si="45"/>
        <v>45314.840603999997</v>
      </c>
      <c r="O98" s="546"/>
      <c r="P98" s="376">
        <f t="shared" si="41"/>
        <v>0</v>
      </c>
      <c r="Q98" s="377">
        <f t="shared" si="42"/>
        <v>-7.2759576141834259E-12</v>
      </c>
    </row>
    <row r="99" spans="1:17" s="271" customFormat="1" ht="10.35" customHeight="1" x14ac:dyDescent="0.25">
      <c r="A99" s="139" t="s">
        <v>2037</v>
      </c>
      <c r="B99" s="536" t="s">
        <v>660</v>
      </c>
      <c r="C99" s="608" t="s">
        <v>3081</v>
      </c>
      <c r="D99" s="623" t="s">
        <v>48</v>
      </c>
      <c r="E99" s="478">
        <f>IF(OR(E52="NA",E53="NA"),"NA",IF(AND(E52="",E53=""),"",SUM(E52:E53)))</f>
        <v>38695.198000000004</v>
      </c>
      <c r="F99" s="478">
        <f t="shared" ref="F99:N99" si="46">IF(OR(F52="NA",F53="NA"),"NA",IF(AND(F52="",F53=""),"",SUM(F52:F53)))</f>
        <v>-2.4119999999999999</v>
      </c>
      <c r="G99" s="478">
        <f t="shared" si="46"/>
        <v>-9.8800000000000008</v>
      </c>
      <c r="H99" s="478">
        <f t="shared" si="46"/>
        <v>38682.906000000003</v>
      </c>
      <c r="I99" s="478">
        <f t="shared" si="46"/>
        <v>1.2575940000000001</v>
      </c>
      <c r="J99" s="478">
        <f t="shared" si="46"/>
        <v>-214.989575</v>
      </c>
      <c r="K99" s="478">
        <f t="shared" si="46"/>
        <v>-134.47063</v>
      </c>
      <c r="L99" s="478">
        <f t="shared" si="46"/>
        <v>0</v>
      </c>
      <c r="M99" s="478">
        <f t="shared" si="46"/>
        <v>38334.703389000002</v>
      </c>
      <c r="N99" s="478">
        <f t="shared" si="46"/>
        <v>38684.163593999998</v>
      </c>
      <c r="O99" s="546"/>
      <c r="P99" s="380">
        <f t="shared" si="41"/>
        <v>-7.2759576141834259E-12</v>
      </c>
      <c r="Q99" s="381">
        <f t="shared" si="42"/>
        <v>0</v>
      </c>
    </row>
    <row r="100" spans="1:17" ht="10.35" customHeight="1" x14ac:dyDescent="0.25">
      <c r="B100" s="580"/>
      <c r="C100" s="602"/>
      <c r="D100" s="531"/>
      <c r="E100" s="546"/>
      <c r="F100" s="546"/>
      <c r="G100" s="546"/>
      <c r="H100" s="546"/>
      <c r="I100" s="546"/>
      <c r="J100" s="546"/>
      <c r="K100" s="546"/>
      <c r="L100" s="546"/>
      <c r="M100" s="546"/>
      <c r="N100" s="546"/>
      <c r="O100" s="546"/>
      <c r="P100" s="177"/>
      <c r="Q100" s="258"/>
    </row>
    <row r="101" spans="1:17" s="193" customFormat="1" ht="15" customHeight="1" x14ac:dyDescent="0.2">
      <c r="B101" s="717" t="s">
        <v>3082</v>
      </c>
      <c r="C101" s="195"/>
      <c r="D101" s="195"/>
      <c r="E101" s="239"/>
      <c r="F101" s="239"/>
      <c r="G101" s="239"/>
      <c r="H101" s="239"/>
      <c r="I101" s="239"/>
      <c r="J101" s="239"/>
      <c r="K101" s="239"/>
      <c r="L101" s="239"/>
      <c r="M101" s="239"/>
      <c r="N101" s="240"/>
      <c r="O101" s="259"/>
      <c r="P101" s="259"/>
      <c r="Q101" s="259"/>
    </row>
    <row r="102" spans="1:17" ht="10.35" customHeight="1" x14ac:dyDescent="0.25">
      <c r="B102" s="200" t="s">
        <v>3523</v>
      </c>
      <c r="C102" s="207"/>
      <c r="D102" s="103" t="s">
        <v>48</v>
      </c>
      <c r="E102" s="242"/>
      <c r="F102" s="242"/>
      <c r="G102" s="242"/>
      <c r="H102" s="242"/>
      <c r="I102" s="242"/>
      <c r="J102" s="242"/>
      <c r="K102" s="242"/>
      <c r="L102" s="242"/>
      <c r="M102" s="242"/>
      <c r="N102" s="242"/>
      <c r="O102" s="177"/>
      <c r="P102" s="177"/>
      <c r="Q102" s="258"/>
    </row>
    <row r="103" spans="1:17" ht="10.35" customHeight="1" x14ac:dyDescent="0.25">
      <c r="B103" s="273"/>
      <c r="C103" s="136" t="s">
        <v>761</v>
      </c>
      <c r="D103" s="103" t="s">
        <v>48</v>
      </c>
      <c r="E103" s="243">
        <f t="shared" ref="E103:N103" si="47">IF(OR(E8="NA",E9="NA",E22="NA",E49="NA"),"NA",-SUM(E8)+SUM(E9)+SUM(E22)-SUM(E49))</f>
        <v>0</v>
      </c>
      <c r="F103" s="243">
        <f t="shared" si="47"/>
        <v>0</v>
      </c>
      <c r="G103" s="243">
        <f t="shared" si="47"/>
        <v>2.8421709430404007E-14</v>
      </c>
      <c r="H103" s="243">
        <f t="shared" si="47"/>
        <v>0</v>
      </c>
      <c r="I103" s="243">
        <f t="shared" si="47"/>
        <v>0</v>
      </c>
      <c r="J103" s="243">
        <f t="shared" si="47"/>
        <v>0</v>
      </c>
      <c r="K103" s="243">
        <f t="shared" si="47"/>
        <v>9.0949470177292824E-13</v>
      </c>
      <c r="L103" s="243">
        <f t="shared" si="47"/>
        <v>0</v>
      </c>
      <c r="M103" s="243">
        <f t="shared" si="47"/>
        <v>0</v>
      </c>
      <c r="N103" s="243">
        <f t="shared" si="47"/>
        <v>0</v>
      </c>
      <c r="O103" s="177"/>
      <c r="P103" s="177"/>
      <c r="Q103" s="258"/>
    </row>
    <row r="104" spans="1:17" ht="10.35" customHeight="1" x14ac:dyDescent="0.25">
      <c r="B104" s="274"/>
      <c r="C104" s="136" t="s">
        <v>714</v>
      </c>
      <c r="D104" s="76" t="s">
        <v>48</v>
      </c>
      <c r="E104" s="243">
        <f t="shared" ref="E104:N104" si="48">IF(OR(E9="NA",E10="NA",E15="NA",E16="NA",E17="NA"),"NA",-SUM(E9)+SUM(E10)+SUM(E15)+SUM(E16)+SUM(E17))</f>
        <v>-9.0949470177292824E-13</v>
      </c>
      <c r="F104" s="243">
        <f t="shared" si="48"/>
        <v>0</v>
      </c>
      <c r="G104" s="243">
        <f t="shared" si="48"/>
        <v>0</v>
      </c>
      <c r="H104" s="243">
        <f t="shared" si="48"/>
        <v>0</v>
      </c>
      <c r="I104" s="243">
        <f t="shared" si="48"/>
        <v>-1.9539925233402755E-14</v>
      </c>
      <c r="J104" s="243">
        <f t="shared" si="48"/>
        <v>1.1368683772161603E-13</v>
      </c>
      <c r="K104" s="243">
        <f t="shared" si="48"/>
        <v>-2.4158453015843406E-13</v>
      </c>
      <c r="L104" s="243">
        <f t="shared" si="48"/>
        <v>0</v>
      </c>
      <c r="M104" s="243">
        <f t="shared" si="48"/>
        <v>-6.8212102632969618E-13</v>
      </c>
      <c r="N104" s="243">
        <f t="shared" si="48"/>
        <v>-2.2737367544323206E-13</v>
      </c>
      <c r="O104" s="177"/>
      <c r="P104" s="177"/>
      <c r="Q104" s="258"/>
    </row>
    <row r="105" spans="1:17" ht="10.35" customHeight="1" x14ac:dyDescent="0.25">
      <c r="B105" s="274"/>
      <c r="C105" s="136" t="s">
        <v>715</v>
      </c>
      <c r="D105" s="76"/>
      <c r="E105" s="243">
        <f t="shared" ref="E105:N105" si="49">IF(OR(E22="NA",E31="NA",E40="NA"),"NA",-SUM(E22)+SUM(E31)+SUM(E40))</f>
        <v>-3.2116531656356528E-12</v>
      </c>
      <c r="F105" s="243">
        <f t="shared" si="49"/>
        <v>1.7763568394002505E-14</v>
      </c>
      <c r="G105" s="243">
        <f t="shared" si="49"/>
        <v>0</v>
      </c>
      <c r="H105" s="243">
        <f t="shared" si="49"/>
        <v>-5.4285465012071654E-12</v>
      </c>
      <c r="I105" s="243">
        <f t="shared" si="49"/>
        <v>0</v>
      </c>
      <c r="J105" s="243">
        <f t="shared" si="49"/>
        <v>-1.9895196601282805E-13</v>
      </c>
      <c r="K105" s="243">
        <f t="shared" si="49"/>
        <v>1.6555645743210334E-12</v>
      </c>
      <c r="L105" s="243">
        <f t="shared" si="49"/>
        <v>0</v>
      </c>
      <c r="M105" s="243">
        <f t="shared" si="49"/>
        <v>5.1159076974727213E-13</v>
      </c>
      <c r="N105" s="243">
        <f t="shared" si="49"/>
        <v>1.8474111129762605E-12</v>
      </c>
      <c r="O105" s="177"/>
      <c r="P105" s="177"/>
      <c r="Q105" s="258"/>
    </row>
    <row r="106" spans="1:17" ht="10.35" customHeight="1" x14ac:dyDescent="0.25">
      <c r="B106" s="274"/>
      <c r="C106" s="136" t="s">
        <v>779</v>
      </c>
      <c r="D106" s="76"/>
      <c r="E106" s="243">
        <f t="shared" ref="E106:N106" si="50">IF(OR(E22="NA",E23="NA",E24="NA",E25="NA",E26="NA",E27="NA",E28="NA",E29="NA",E30="NA"),"NA",-SUM(E22)+SUM(E23)+SUM(E24)+SUM(E25)+SUM(E26)+SUM(E27)+SUM(E28)+SUM(E29)+SUM(E30))</f>
        <v>0</v>
      </c>
      <c r="F106" s="243">
        <f t="shared" si="50"/>
        <v>0</v>
      </c>
      <c r="G106" s="243">
        <f t="shared" si="50"/>
        <v>0</v>
      </c>
      <c r="H106" s="243">
        <f t="shared" si="50"/>
        <v>-3.637978807091713E-12</v>
      </c>
      <c r="I106" s="243">
        <f t="shared" si="50"/>
        <v>0</v>
      </c>
      <c r="J106" s="243">
        <f t="shared" si="50"/>
        <v>0</v>
      </c>
      <c r="K106" s="243">
        <f t="shared" si="50"/>
        <v>9.0949470177292824E-13</v>
      </c>
      <c r="L106" s="243">
        <f t="shared" si="50"/>
        <v>4.4575454438700035E-14</v>
      </c>
      <c r="M106" s="243">
        <f t="shared" si="50"/>
        <v>-3.637978807091713E-12</v>
      </c>
      <c r="N106" s="243">
        <f t="shared" si="50"/>
        <v>-1.8189894035458565E-12</v>
      </c>
      <c r="O106" s="177"/>
      <c r="P106" s="177"/>
      <c r="Q106" s="258"/>
    </row>
    <row r="107" spans="1:17" ht="10.35" customHeight="1" x14ac:dyDescent="0.25">
      <c r="B107" s="274"/>
      <c r="C107" s="207" t="s">
        <v>716</v>
      </c>
      <c r="D107" s="76"/>
      <c r="E107" s="243">
        <f t="shared" ref="E107:N107" si="51">IF(OR(E49="NA",E63="NA",E71="NA"),"NA",-SUM(E49)+SUM(E63)+SUM(E71))</f>
        <v>-6.3664629124104977E-12</v>
      </c>
      <c r="F107" s="243">
        <f t="shared" si="51"/>
        <v>-9.0899510141184692E-16</v>
      </c>
      <c r="G107" s="243">
        <f t="shared" si="51"/>
        <v>0</v>
      </c>
      <c r="H107" s="243">
        <f t="shared" si="51"/>
        <v>-1.0913936421275139E-11</v>
      </c>
      <c r="I107" s="243">
        <f t="shared" si="51"/>
        <v>-5.1902926401226068E-14</v>
      </c>
      <c r="J107" s="243">
        <f t="shared" si="51"/>
        <v>1.2434497875801753E-13</v>
      </c>
      <c r="K107" s="243">
        <f t="shared" si="51"/>
        <v>2.2737367544323206E-13</v>
      </c>
      <c r="L107" s="243">
        <f t="shared" si="51"/>
        <v>0</v>
      </c>
      <c r="M107" s="243">
        <f t="shared" si="51"/>
        <v>3.1832314562052488E-12</v>
      </c>
      <c r="N107" s="243">
        <f t="shared" si="51"/>
        <v>5.4569682106375694E-12</v>
      </c>
      <c r="O107" s="177"/>
      <c r="P107" s="177"/>
      <c r="Q107" s="258"/>
    </row>
    <row r="108" spans="1:17" ht="10.35" customHeight="1" x14ac:dyDescent="0.25">
      <c r="B108" s="274"/>
      <c r="C108" s="136" t="s">
        <v>782</v>
      </c>
      <c r="D108" s="76"/>
      <c r="E108" s="243">
        <f t="shared" ref="E108:N108" si="52">IF(OR(E49="NA",E50="NA",E51="NA",E52="NA",E53="NA",E54="NA",E55="NA",E61="NA",E62="NA"),"NA",-SUM(E49)+SUM(E50)+SUM(E51)+SUM(E52)+SUM(E53)+SUM(E54)+SUM(E55)+SUM(E61)+SUM(E62))</f>
        <v>-7.2759576141834259E-12</v>
      </c>
      <c r="F108" s="243">
        <f t="shared" si="52"/>
        <v>1.4210854715202004E-14</v>
      </c>
      <c r="G108" s="243">
        <f t="shared" si="52"/>
        <v>0</v>
      </c>
      <c r="H108" s="243">
        <f t="shared" si="52"/>
        <v>-1.0913936421275139E-11</v>
      </c>
      <c r="I108" s="243">
        <f t="shared" si="52"/>
        <v>0</v>
      </c>
      <c r="J108" s="243">
        <f t="shared" si="52"/>
        <v>8.5265128291212022E-14</v>
      </c>
      <c r="K108" s="243">
        <f t="shared" si="52"/>
        <v>0</v>
      </c>
      <c r="L108" s="243">
        <f t="shared" si="52"/>
        <v>0</v>
      </c>
      <c r="M108" s="243">
        <f t="shared" si="52"/>
        <v>7.2759576141834259E-12</v>
      </c>
      <c r="N108" s="243">
        <f t="shared" si="52"/>
        <v>7.2759576141834259E-12</v>
      </c>
      <c r="O108" s="177"/>
      <c r="P108" s="177"/>
      <c r="Q108" s="258"/>
    </row>
    <row r="109" spans="1:17" ht="10.35" customHeight="1" x14ac:dyDescent="0.25">
      <c r="B109" s="200" t="s">
        <v>3552</v>
      </c>
      <c r="E109" s="243"/>
      <c r="F109" s="243"/>
      <c r="G109" s="243"/>
      <c r="H109" s="243"/>
      <c r="I109" s="243"/>
      <c r="J109" s="243"/>
      <c r="K109" s="243"/>
      <c r="L109" s="243"/>
      <c r="M109" s="243"/>
      <c r="N109" s="243"/>
      <c r="O109" s="177"/>
      <c r="P109" s="177"/>
      <c r="Q109" s="258"/>
    </row>
    <row r="110" spans="1:17" ht="10.35" customHeight="1" x14ac:dyDescent="0.25">
      <c r="B110" s="274"/>
      <c r="C110" s="136" t="s">
        <v>778</v>
      </c>
      <c r="D110" s="76"/>
      <c r="E110" s="243">
        <f t="shared" ref="E110:N110" si="53">IF(OR(E10="NA",E11="NA",E12="NA",E13="NA",E14="NA"),"NA",-SUM(E10)+SUM(E11)+SUM(E12)+SUM(E13)+SUM(E14))</f>
        <v>3.0553337637684308E-13</v>
      </c>
      <c r="F110" s="243">
        <f t="shared" si="53"/>
        <v>1.2212453270876722E-15</v>
      </c>
      <c r="G110" s="243">
        <f t="shared" si="53"/>
        <v>0</v>
      </c>
      <c r="H110" s="243">
        <f t="shared" si="53"/>
        <v>1.9184653865522705E-13</v>
      </c>
      <c r="I110" s="243">
        <f t="shared" si="53"/>
        <v>4.2854608750531042E-14</v>
      </c>
      <c r="J110" s="243">
        <f t="shared" si="53"/>
        <v>-2.9753977059954195E-14</v>
      </c>
      <c r="K110" s="243">
        <f t="shared" si="53"/>
        <v>2.1671553440683056E-13</v>
      </c>
      <c r="L110" s="243">
        <f t="shared" si="53"/>
        <v>0</v>
      </c>
      <c r="M110" s="243">
        <f t="shared" si="53"/>
        <v>8.2422957348171622E-13</v>
      </c>
      <c r="N110" s="243">
        <f t="shared" si="53"/>
        <v>1.0089706847793423E-12</v>
      </c>
      <c r="O110" s="177"/>
      <c r="P110" s="177"/>
      <c r="Q110" s="258"/>
    </row>
    <row r="111" spans="1:17" ht="10.35" customHeight="1" x14ac:dyDescent="0.25">
      <c r="B111" s="274"/>
      <c r="C111" s="136" t="s">
        <v>762</v>
      </c>
      <c r="D111" s="76"/>
      <c r="E111" s="243">
        <f t="shared" ref="E111:N111" si="54">IF(OR(E17="NA",E18="NA",E19="NA",E20="NA",E21="NA"),"NA",-SUM(E17)+SUM(E18)+SUM(E19)+SUM(E20)+SUM(E21))</f>
        <v>1.9895196601282805E-13</v>
      </c>
      <c r="F111" s="243">
        <f t="shared" si="54"/>
        <v>1.8873791418627661E-14</v>
      </c>
      <c r="G111" s="243">
        <f t="shared" si="54"/>
        <v>0</v>
      </c>
      <c r="H111" s="243">
        <f t="shared" si="54"/>
        <v>1.1368683772161603E-13</v>
      </c>
      <c r="I111" s="243">
        <f t="shared" si="54"/>
        <v>-4.4408920985006262E-16</v>
      </c>
      <c r="J111" s="243">
        <f t="shared" si="54"/>
        <v>-4.1744385725905886E-14</v>
      </c>
      <c r="K111" s="243">
        <f t="shared" si="54"/>
        <v>0</v>
      </c>
      <c r="L111" s="243">
        <f t="shared" si="54"/>
        <v>0</v>
      </c>
      <c r="M111" s="243">
        <f t="shared" si="54"/>
        <v>1.7053025658242404E-13</v>
      </c>
      <c r="N111" s="243">
        <f t="shared" si="54"/>
        <v>-1.9895196601282805E-13</v>
      </c>
      <c r="O111" s="177"/>
      <c r="P111" s="177"/>
      <c r="Q111" s="258"/>
    </row>
    <row r="112" spans="1:17" ht="10.35" customHeight="1" x14ac:dyDescent="0.25">
      <c r="B112" s="274"/>
      <c r="C112" s="136" t="s">
        <v>1443</v>
      </c>
      <c r="D112" s="76"/>
      <c r="E112" s="203">
        <f t="shared" ref="E112:N112" si="55">IF(OR(E23="NA",E32="NA",E41="NA"),"NA",-SUM(E23)+SUM(E32)+SUM(E41))</f>
        <v>0</v>
      </c>
      <c r="F112" s="203">
        <f t="shared" si="55"/>
        <v>0</v>
      </c>
      <c r="G112" s="203">
        <f t="shared" si="55"/>
        <v>0</v>
      </c>
      <c r="H112" s="203">
        <f t="shared" si="55"/>
        <v>0</v>
      </c>
      <c r="I112" s="203">
        <f t="shared" si="55"/>
        <v>0</v>
      </c>
      <c r="J112" s="203">
        <f t="shared" si="55"/>
        <v>0</v>
      </c>
      <c r="K112" s="203">
        <f t="shared" si="55"/>
        <v>0</v>
      </c>
      <c r="L112" s="203">
        <f t="shared" si="55"/>
        <v>0</v>
      </c>
      <c r="M112" s="203">
        <f t="shared" si="55"/>
        <v>0</v>
      </c>
      <c r="N112" s="203">
        <f t="shared" si="55"/>
        <v>0</v>
      </c>
      <c r="O112" s="177"/>
      <c r="P112" s="177"/>
      <c r="Q112" s="258"/>
    </row>
    <row r="113" spans="2:17" ht="10.35" customHeight="1" x14ac:dyDescent="0.25">
      <c r="B113" s="274"/>
      <c r="C113" s="136" t="s">
        <v>763</v>
      </c>
      <c r="D113" s="76"/>
      <c r="E113" s="243">
        <f t="shared" ref="E113:N113" si="56">IF(OR(E24="NA",E33="NA",E42="NA"),"NA",-SUM(E24)+SUM(E33)+SUM(E42))</f>
        <v>-5.1159076974727213E-13</v>
      </c>
      <c r="F113" s="243">
        <f t="shared" si="56"/>
        <v>5.3290705182007514E-15</v>
      </c>
      <c r="G113" s="243">
        <f t="shared" si="56"/>
        <v>0</v>
      </c>
      <c r="H113" s="243">
        <f t="shared" si="56"/>
        <v>2.8421709430404007E-13</v>
      </c>
      <c r="I113" s="243">
        <f t="shared" si="56"/>
        <v>0</v>
      </c>
      <c r="J113" s="243">
        <f t="shared" si="56"/>
        <v>1.7763568394002505E-15</v>
      </c>
      <c r="K113" s="243">
        <f t="shared" si="56"/>
        <v>-1.7080781233858033E-13</v>
      </c>
      <c r="L113" s="243">
        <f t="shared" si="56"/>
        <v>0</v>
      </c>
      <c r="M113" s="243">
        <f t="shared" si="56"/>
        <v>-8.5265128291212022E-13</v>
      </c>
      <c r="N113" s="243">
        <f t="shared" si="56"/>
        <v>2.8421709430404007E-13</v>
      </c>
      <c r="O113" s="177"/>
      <c r="P113" s="177"/>
      <c r="Q113" s="258"/>
    </row>
    <row r="114" spans="2:17" ht="10.35" customHeight="1" x14ac:dyDescent="0.25">
      <c r="B114" s="274"/>
      <c r="C114" s="136" t="s">
        <v>764</v>
      </c>
      <c r="D114" s="76"/>
      <c r="E114" s="243">
        <f t="shared" ref="E114:N114" si="57">IF(OR(E25="NA",E34="NA",E43="NA"),"NA",-SUM(E25)+SUM(E34)+SUM(E43))</f>
        <v>2.2737367544323206E-13</v>
      </c>
      <c r="F114" s="243">
        <f t="shared" si="57"/>
        <v>6.2172489379008766E-15</v>
      </c>
      <c r="G114" s="243">
        <f t="shared" si="57"/>
        <v>0</v>
      </c>
      <c r="H114" s="243">
        <f t="shared" si="57"/>
        <v>0</v>
      </c>
      <c r="I114" s="243">
        <f t="shared" si="57"/>
        <v>0</v>
      </c>
      <c r="J114" s="243">
        <f t="shared" si="57"/>
        <v>0</v>
      </c>
      <c r="K114" s="243">
        <f t="shared" si="57"/>
        <v>0</v>
      </c>
      <c r="L114" s="243">
        <f t="shared" si="57"/>
        <v>0</v>
      </c>
      <c r="M114" s="243">
        <f t="shared" si="57"/>
        <v>0</v>
      </c>
      <c r="N114" s="243">
        <f t="shared" si="57"/>
        <v>0</v>
      </c>
      <c r="O114" s="177"/>
      <c r="P114" s="177"/>
      <c r="Q114" s="258"/>
    </row>
    <row r="115" spans="2:17" ht="10.35" customHeight="1" x14ac:dyDescent="0.25">
      <c r="B115" s="274"/>
      <c r="C115" s="136" t="s">
        <v>765</v>
      </c>
      <c r="D115" s="76"/>
      <c r="E115" s="243">
        <f t="shared" ref="E115:N115" si="58">IF(OR(E26="NA",E35="NA",E44="NA"),"NA",-SUM(E26)+SUM(E35)+SUM(E44))</f>
        <v>-5.6843418860808015E-14</v>
      </c>
      <c r="F115" s="243">
        <f t="shared" si="58"/>
        <v>-4.8225312632155237E-16</v>
      </c>
      <c r="G115" s="243">
        <f t="shared" si="58"/>
        <v>0</v>
      </c>
      <c r="H115" s="243">
        <f t="shared" si="58"/>
        <v>-5.6843418860808015E-14</v>
      </c>
      <c r="I115" s="243">
        <f t="shared" si="58"/>
        <v>0</v>
      </c>
      <c r="J115" s="243">
        <f t="shared" si="58"/>
        <v>0</v>
      </c>
      <c r="K115" s="243">
        <f t="shared" si="58"/>
        <v>0</v>
      </c>
      <c r="L115" s="243">
        <f t="shared" si="58"/>
        <v>0</v>
      </c>
      <c r="M115" s="243">
        <f t="shared" si="58"/>
        <v>0</v>
      </c>
      <c r="N115" s="243">
        <f t="shared" si="58"/>
        <v>-5.6843418860808015E-14</v>
      </c>
      <c r="O115" s="177"/>
      <c r="P115" s="177"/>
      <c r="Q115" s="258"/>
    </row>
    <row r="116" spans="2:17" ht="10.35" customHeight="1" x14ac:dyDescent="0.25">
      <c r="B116" s="274"/>
      <c r="C116" s="136" t="s">
        <v>766</v>
      </c>
      <c r="D116" s="76"/>
      <c r="E116" s="243">
        <f t="shared" ref="E116:N116" si="59">IF(OR(E27="NA",E36="NA",E45="NA"),"NA",-SUM(E27)+SUM(E36)+SUM(E45))</f>
        <v>5.6843418860808015E-14</v>
      </c>
      <c r="F116" s="243">
        <f t="shared" si="59"/>
        <v>0</v>
      </c>
      <c r="G116" s="243">
        <f t="shared" si="59"/>
        <v>0</v>
      </c>
      <c r="H116" s="243">
        <f t="shared" si="59"/>
        <v>5.6843418860808015E-14</v>
      </c>
      <c r="I116" s="243">
        <f t="shared" si="59"/>
        <v>0</v>
      </c>
      <c r="J116" s="243">
        <f t="shared" si="59"/>
        <v>0</v>
      </c>
      <c r="K116" s="243">
        <f t="shared" si="59"/>
        <v>0</v>
      </c>
      <c r="L116" s="243">
        <f t="shared" si="59"/>
        <v>0</v>
      </c>
      <c r="M116" s="243">
        <f t="shared" si="59"/>
        <v>5.6843418860808015E-14</v>
      </c>
      <c r="N116" s="243">
        <f t="shared" si="59"/>
        <v>5.6843418860808015E-14</v>
      </c>
      <c r="O116" s="177"/>
      <c r="P116" s="177"/>
      <c r="Q116" s="258"/>
    </row>
    <row r="117" spans="2:17" ht="10.35" customHeight="1" x14ac:dyDescent="0.25">
      <c r="B117" s="274"/>
      <c r="C117" s="136" t="s">
        <v>767</v>
      </c>
      <c r="D117" s="76"/>
      <c r="E117" s="243">
        <f t="shared" ref="E117:N117" si="60">IF(OR(E28="NA",E37="NA",E46="NA"),"NA",-SUM(E28)+SUM(E37)+SUM(E46))</f>
        <v>0</v>
      </c>
      <c r="F117" s="243">
        <f t="shared" si="60"/>
        <v>0</v>
      </c>
      <c r="G117" s="243">
        <f t="shared" si="60"/>
        <v>0</v>
      </c>
      <c r="H117" s="243">
        <f t="shared" si="60"/>
        <v>0</v>
      </c>
      <c r="I117" s="243">
        <f t="shared" si="60"/>
        <v>0</v>
      </c>
      <c r="J117" s="243">
        <f t="shared" si="60"/>
        <v>0</v>
      </c>
      <c r="K117" s="243">
        <f t="shared" si="60"/>
        <v>0</v>
      </c>
      <c r="L117" s="243">
        <f t="shared" si="60"/>
        <v>0</v>
      </c>
      <c r="M117" s="243">
        <f t="shared" si="60"/>
        <v>0</v>
      </c>
      <c r="N117" s="243">
        <f t="shared" si="60"/>
        <v>0</v>
      </c>
      <c r="O117" s="177"/>
      <c r="P117" s="177"/>
      <c r="Q117" s="258"/>
    </row>
    <row r="118" spans="2:17" ht="10.35" customHeight="1" x14ac:dyDescent="0.25">
      <c r="B118" s="274"/>
      <c r="C118" s="136" t="s">
        <v>768</v>
      </c>
      <c r="D118" s="76"/>
      <c r="E118" s="243">
        <f t="shared" ref="E118:N118" si="61">IF(OR(E29="NA",E38="NA",E47="NA"),"NA",-SUM(E29)+SUM(E38)+SUM(E47))</f>
        <v>0</v>
      </c>
      <c r="F118" s="243">
        <f t="shared" si="61"/>
        <v>0</v>
      </c>
      <c r="G118" s="243">
        <f t="shared" si="61"/>
        <v>0</v>
      </c>
      <c r="H118" s="243">
        <f t="shared" si="61"/>
        <v>0</v>
      </c>
      <c r="I118" s="243">
        <f t="shared" si="61"/>
        <v>0</v>
      </c>
      <c r="J118" s="243">
        <f t="shared" si="61"/>
        <v>0</v>
      </c>
      <c r="K118" s="243">
        <f t="shared" si="61"/>
        <v>0</v>
      </c>
      <c r="L118" s="243">
        <f t="shared" si="61"/>
        <v>0</v>
      </c>
      <c r="M118" s="243">
        <f t="shared" si="61"/>
        <v>0</v>
      </c>
      <c r="N118" s="243">
        <f t="shared" si="61"/>
        <v>0</v>
      </c>
      <c r="O118" s="177"/>
      <c r="P118" s="177"/>
      <c r="Q118" s="258"/>
    </row>
    <row r="119" spans="2:17" ht="10.35" customHeight="1" x14ac:dyDescent="0.25">
      <c r="B119" s="274"/>
      <c r="C119" s="136" t="s">
        <v>769</v>
      </c>
      <c r="D119" s="76"/>
      <c r="E119" s="243">
        <f>IF(OR(E30="NA",E39="NA",E48="NA"),"NA",-SUM(E30)+SUM(E39)+SUM(E48))</f>
        <v>2.8421709430404007E-14</v>
      </c>
      <c r="F119" s="243">
        <f t="shared" ref="F119:N119" si="62">IF(OR(F30="NA",F39="NA",F48="NA"),"NA",-SUM(F30)+SUM(F39)+SUM(F48))</f>
        <v>-6.7758298971654085E-15</v>
      </c>
      <c r="G119" s="243">
        <f t="shared" si="62"/>
        <v>0</v>
      </c>
      <c r="H119" s="243">
        <f t="shared" si="62"/>
        <v>8.7441165419477329E-13</v>
      </c>
      <c r="I119" s="243">
        <f t="shared" si="62"/>
        <v>0</v>
      </c>
      <c r="J119" s="243">
        <f t="shared" si="62"/>
        <v>0</v>
      </c>
      <c r="K119" s="243">
        <f t="shared" si="62"/>
        <v>-2.0605739337042905E-13</v>
      </c>
      <c r="L119" s="243">
        <f t="shared" si="62"/>
        <v>0</v>
      </c>
      <c r="M119" s="243">
        <f t="shared" si="62"/>
        <v>1.5774048733874224E-12</v>
      </c>
      <c r="N119" s="243">
        <f t="shared" si="62"/>
        <v>8.7441165419477329E-13</v>
      </c>
      <c r="O119" s="177"/>
      <c r="P119" s="177"/>
      <c r="Q119" s="258"/>
    </row>
    <row r="120" spans="2:17" ht="10.35" customHeight="1" x14ac:dyDescent="0.25">
      <c r="B120" s="274"/>
      <c r="C120" s="136" t="s">
        <v>780</v>
      </c>
      <c r="D120" s="76"/>
      <c r="E120" s="243">
        <f t="shared" ref="E120:N120" si="63">IF(OR(E31="NA",E32="NA",E33="NA",E34="NA",E35="NA",E36="NA",E37="NA",E38="NA",E39="NA",),"NA",-SUM(E31)+SUM(E32)+SUM(E33)+SUM(E34)+SUM(E35)+SUM(E36)+SUM(E37)+SUM(E38)+SUM(E39))</f>
        <v>1.8189894035458565E-12</v>
      </c>
      <c r="F120" s="243">
        <f t="shared" si="63"/>
        <v>5.6843418860808015E-14</v>
      </c>
      <c r="G120" s="243">
        <f t="shared" si="63"/>
        <v>0</v>
      </c>
      <c r="H120" s="243">
        <f t="shared" si="63"/>
        <v>9.0949470177292824E-12</v>
      </c>
      <c r="I120" s="243">
        <f t="shared" si="63"/>
        <v>0</v>
      </c>
      <c r="J120" s="243">
        <f t="shared" si="63"/>
        <v>4.5474735088646412E-13</v>
      </c>
      <c r="K120" s="243">
        <f t="shared" si="63"/>
        <v>-1.8189894035458565E-12</v>
      </c>
      <c r="L120" s="243">
        <f t="shared" si="63"/>
        <v>4.4575454438700035E-14</v>
      </c>
      <c r="M120" s="243">
        <f t="shared" si="63"/>
        <v>0</v>
      </c>
      <c r="N120" s="243">
        <f t="shared" si="63"/>
        <v>0</v>
      </c>
      <c r="O120" s="177"/>
      <c r="P120" s="177"/>
      <c r="Q120" s="258"/>
    </row>
    <row r="121" spans="2:17" ht="10.35" customHeight="1" x14ac:dyDescent="0.25">
      <c r="B121" s="274"/>
      <c r="C121" s="136" t="s">
        <v>781</v>
      </c>
      <c r="D121" s="76"/>
      <c r="E121" s="243">
        <f t="shared" ref="E121:N121" si="64">IF(OR(E40="NA",E41="NA",E42="NA",E43="NA",E44="NA",E45="NA",E46="NA",E47="NA",E48="NA"),"NA",-SUM(E40)+SUM(E41)+SUM(E42)+SUM(E43)+SUM(E44)+SUM(E45)+SUM(E46)+SUM(E47)+SUM(E48))</f>
        <v>2.8421709430404007E-14</v>
      </c>
      <c r="F121" s="243">
        <f t="shared" si="64"/>
        <v>7.3552275381416621E-16</v>
      </c>
      <c r="G121" s="243">
        <f t="shared" si="64"/>
        <v>0</v>
      </c>
      <c r="H121" s="243">
        <f t="shared" si="64"/>
        <v>-3.5083047578154947E-14</v>
      </c>
      <c r="I121" s="243">
        <f t="shared" si="64"/>
        <v>0</v>
      </c>
      <c r="J121" s="243">
        <f t="shared" si="64"/>
        <v>0</v>
      </c>
      <c r="K121" s="243">
        <f t="shared" si="64"/>
        <v>0</v>
      </c>
      <c r="L121" s="243">
        <f t="shared" si="64"/>
        <v>0</v>
      </c>
      <c r="M121" s="243">
        <f t="shared" si="64"/>
        <v>4.2632564145606011E-14</v>
      </c>
      <c r="N121" s="243">
        <f t="shared" si="64"/>
        <v>-3.5083047578154947E-14</v>
      </c>
      <c r="O121" s="177"/>
      <c r="P121" s="177"/>
      <c r="Q121" s="258"/>
    </row>
    <row r="122" spans="2:17" ht="10.35" customHeight="1" x14ac:dyDescent="0.25">
      <c r="B122" s="274"/>
      <c r="C122" s="136" t="s">
        <v>783</v>
      </c>
      <c r="D122" s="76" t="s">
        <v>48</v>
      </c>
      <c r="E122" s="243">
        <f t="shared" ref="E122:N122" si="65">IF(OR(E50="NA",E72="NA"),"NA",-SUM(E50)+SUM(E72))</f>
        <v>0</v>
      </c>
      <c r="F122" s="243">
        <f t="shared" si="65"/>
        <v>0</v>
      </c>
      <c r="G122" s="243">
        <f t="shared" si="65"/>
        <v>0</v>
      </c>
      <c r="H122" s="243">
        <f t="shared" si="65"/>
        <v>0</v>
      </c>
      <c r="I122" s="243">
        <f t="shared" si="65"/>
        <v>0</v>
      </c>
      <c r="J122" s="243">
        <f t="shared" si="65"/>
        <v>0</v>
      </c>
      <c r="K122" s="243">
        <f t="shared" si="65"/>
        <v>0</v>
      </c>
      <c r="L122" s="243">
        <f t="shared" si="65"/>
        <v>0</v>
      </c>
      <c r="M122" s="243">
        <f t="shared" si="65"/>
        <v>0</v>
      </c>
      <c r="N122" s="243">
        <f t="shared" si="65"/>
        <v>0</v>
      </c>
      <c r="O122" s="177"/>
      <c r="P122" s="177"/>
      <c r="Q122" s="258"/>
    </row>
    <row r="123" spans="2:17" ht="10.35" customHeight="1" x14ac:dyDescent="0.25">
      <c r="B123" s="274"/>
      <c r="C123" s="136" t="s">
        <v>770</v>
      </c>
      <c r="D123" s="76" t="s">
        <v>48</v>
      </c>
      <c r="E123" s="243">
        <f t="shared" ref="E123:N123" si="66">IF(OR(E51="NA",E64="NA",E73="NA"),"NA",-SUM(E51)+SUM(E64)+SUM(E73))</f>
        <v>0</v>
      </c>
      <c r="F123" s="243">
        <f t="shared" si="66"/>
        <v>0</v>
      </c>
      <c r="G123" s="243">
        <f t="shared" si="66"/>
        <v>0</v>
      </c>
      <c r="H123" s="243">
        <f t="shared" si="66"/>
        <v>0</v>
      </c>
      <c r="I123" s="243">
        <f t="shared" si="66"/>
        <v>0</v>
      </c>
      <c r="J123" s="243">
        <f t="shared" si="66"/>
        <v>0</v>
      </c>
      <c r="K123" s="243">
        <f t="shared" si="66"/>
        <v>0</v>
      </c>
      <c r="L123" s="243">
        <f t="shared" si="66"/>
        <v>0</v>
      </c>
      <c r="M123" s="243">
        <f t="shared" si="66"/>
        <v>0</v>
      </c>
      <c r="N123" s="243">
        <f t="shared" si="66"/>
        <v>0</v>
      </c>
      <c r="O123" s="177"/>
      <c r="P123" s="177"/>
      <c r="Q123" s="258"/>
    </row>
    <row r="124" spans="2:17" ht="10.35" customHeight="1" x14ac:dyDescent="0.25">
      <c r="B124" s="274"/>
      <c r="C124" s="136" t="s">
        <v>771</v>
      </c>
      <c r="D124" s="76" t="s">
        <v>48</v>
      </c>
      <c r="E124" s="243">
        <f t="shared" ref="E124:N124" si="67">IF(OR(E52="NA",E65="NA",E74="NA"),"NA",-SUM(E52)+SUM(E65)+SUM(E74))</f>
        <v>-9.0949470177292824E-13</v>
      </c>
      <c r="F124" s="243">
        <f t="shared" si="67"/>
        <v>0</v>
      </c>
      <c r="G124" s="243">
        <f t="shared" si="67"/>
        <v>0</v>
      </c>
      <c r="H124" s="243">
        <f t="shared" si="67"/>
        <v>-9.0949470177292824E-13</v>
      </c>
      <c r="I124" s="243">
        <f t="shared" si="67"/>
        <v>0</v>
      </c>
      <c r="J124" s="243">
        <f t="shared" si="67"/>
        <v>0</v>
      </c>
      <c r="K124" s="243">
        <f t="shared" si="67"/>
        <v>-7.0152217368502079E-15</v>
      </c>
      <c r="L124" s="243">
        <f t="shared" si="67"/>
        <v>0</v>
      </c>
      <c r="M124" s="243">
        <f t="shared" si="67"/>
        <v>0</v>
      </c>
      <c r="N124" s="243">
        <f t="shared" si="67"/>
        <v>2.7284841053187847E-12</v>
      </c>
      <c r="O124" s="177"/>
      <c r="P124" s="177"/>
      <c r="Q124" s="258"/>
    </row>
    <row r="125" spans="2:17" ht="10.35" customHeight="1" x14ac:dyDescent="0.25">
      <c r="B125" s="274"/>
      <c r="C125" s="136" t="s">
        <v>772</v>
      </c>
      <c r="D125" s="76" t="s">
        <v>48</v>
      </c>
      <c r="E125" s="243">
        <f t="shared" ref="E125:N125" si="68">IF(OR(E53="NA",E66="NA",E75="NA"),"NA",-SUM(E53)+SUM(E66)+SUM(E75))</f>
        <v>-4.5474735088646412E-13</v>
      </c>
      <c r="F125" s="243">
        <f t="shared" si="68"/>
        <v>0</v>
      </c>
      <c r="G125" s="243">
        <f t="shared" si="68"/>
        <v>0</v>
      </c>
      <c r="H125" s="243">
        <f t="shared" si="68"/>
        <v>-4.5474735088646412E-13</v>
      </c>
      <c r="I125" s="243">
        <f t="shared" si="68"/>
        <v>0</v>
      </c>
      <c r="J125" s="243">
        <f t="shared" si="68"/>
        <v>0</v>
      </c>
      <c r="K125" s="243">
        <f t="shared" si="68"/>
        <v>0</v>
      </c>
      <c r="L125" s="243">
        <f t="shared" si="68"/>
        <v>0</v>
      </c>
      <c r="M125" s="243">
        <f t="shared" si="68"/>
        <v>0</v>
      </c>
      <c r="N125" s="243">
        <f t="shared" si="68"/>
        <v>0</v>
      </c>
      <c r="O125" s="177"/>
      <c r="P125" s="177"/>
      <c r="Q125" s="258"/>
    </row>
    <row r="126" spans="2:17" ht="10.35" customHeight="1" x14ac:dyDescent="0.25">
      <c r="B126" s="274"/>
      <c r="C126" s="136" t="s">
        <v>773</v>
      </c>
      <c r="D126" s="76" t="s">
        <v>48</v>
      </c>
      <c r="E126" s="243">
        <f t="shared" ref="E126:N126" si="69">IF(OR(E54="NA",E67="NA",E76="NA"),"NA",-SUM(E54)+SUM(E67)+SUM(E76))</f>
        <v>0</v>
      </c>
      <c r="F126" s="243">
        <f t="shared" si="69"/>
        <v>0</v>
      </c>
      <c r="G126" s="243">
        <f t="shared" si="69"/>
        <v>0</v>
      </c>
      <c r="H126" s="243">
        <f t="shared" si="69"/>
        <v>0</v>
      </c>
      <c r="I126" s="243">
        <f t="shared" si="69"/>
        <v>0</v>
      </c>
      <c r="J126" s="243">
        <f t="shared" si="69"/>
        <v>0</v>
      </c>
      <c r="K126" s="243">
        <f t="shared" si="69"/>
        <v>0</v>
      </c>
      <c r="L126" s="243">
        <f t="shared" si="69"/>
        <v>0</v>
      </c>
      <c r="M126" s="243">
        <f t="shared" si="69"/>
        <v>0</v>
      </c>
      <c r="N126" s="243">
        <f t="shared" si="69"/>
        <v>0</v>
      </c>
      <c r="O126" s="177"/>
      <c r="P126" s="177"/>
      <c r="Q126" s="258"/>
    </row>
    <row r="127" spans="2:17" ht="10.35" customHeight="1" x14ac:dyDescent="0.25">
      <c r="B127" s="274"/>
      <c r="C127" s="136" t="s">
        <v>774</v>
      </c>
      <c r="D127" s="76" t="s">
        <v>48</v>
      </c>
      <c r="E127" s="243">
        <f t="shared" ref="E127:N127" si="70">IF(OR(E55="NA",E68="NA",E77="NA"),"NA",-SUM(E55)+SUM(E68)+SUM(E77))</f>
        <v>0</v>
      </c>
      <c r="F127" s="243">
        <f t="shared" si="70"/>
        <v>0</v>
      </c>
      <c r="G127" s="243">
        <f t="shared" si="70"/>
        <v>0</v>
      </c>
      <c r="H127" s="243">
        <f t="shared" si="70"/>
        <v>0</v>
      </c>
      <c r="I127" s="243">
        <f t="shared" si="70"/>
        <v>0</v>
      </c>
      <c r="J127" s="243">
        <f t="shared" si="70"/>
        <v>0</v>
      </c>
      <c r="K127" s="243">
        <f t="shared" si="70"/>
        <v>0</v>
      </c>
      <c r="L127" s="243">
        <f t="shared" si="70"/>
        <v>0</v>
      </c>
      <c r="M127" s="243">
        <f t="shared" si="70"/>
        <v>0</v>
      </c>
      <c r="N127" s="243">
        <f t="shared" si="70"/>
        <v>0</v>
      </c>
      <c r="O127" s="177"/>
      <c r="P127" s="177"/>
      <c r="Q127" s="258"/>
    </row>
    <row r="128" spans="2:17" ht="10.35" customHeight="1" x14ac:dyDescent="0.25">
      <c r="B128" s="274"/>
      <c r="C128" s="136" t="s">
        <v>775</v>
      </c>
      <c r="D128" s="76" t="s">
        <v>48</v>
      </c>
      <c r="E128" s="243">
        <f t="shared" ref="E128:N128" si="71">IF(OR(E61="NA",E69="NA",E78="NA"),"NA",-SUM(E61)+SUM(E69)+SUM(E78))</f>
        <v>0</v>
      </c>
      <c r="F128" s="243">
        <f t="shared" si="71"/>
        <v>0</v>
      </c>
      <c r="G128" s="243">
        <f t="shared" si="71"/>
        <v>0</v>
      </c>
      <c r="H128" s="243">
        <f t="shared" si="71"/>
        <v>0</v>
      </c>
      <c r="I128" s="243">
        <f t="shared" si="71"/>
        <v>0</v>
      </c>
      <c r="J128" s="243">
        <f t="shared" si="71"/>
        <v>0</v>
      </c>
      <c r="K128" s="243">
        <f t="shared" si="71"/>
        <v>0</v>
      </c>
      <c r="L128" s="243">
        <f t="shared" si="71"/>
        <v>0</v>
      </c>
      <c r="M128" s="243">
        <f t="shared" si="71"/>
        <v>0</v>
      </c>
      <c r="N128" s="243">
        <f t="shared" si="71"/>
        <v>0</v>
      </c>
      <c r="O128" s="177"/>
      <c r="P128" s="177"/>
      <c r="Q128" s="258"/>
    </row>
    <row r="129" spans="2:17" ht="10.35" customHeight="1" x14ac:dyDescent="0.25">
      <c r="B129" s="274"/>
      <c r="C129" s="136" t="s">
        <v>776</v>
      </c>
      <c r="D129" s="76" t="s">
        <v>48</v>
      </c>
      <c r="E129" s="243">
        <f>IF(OR(E62="NA",E70="NA",E79="NA"),"NA",-SUM(E62)+SUM(E70)+SUM(E79))</f>
        <v>1.2805867477538868E-12</v>
      </c>
      <c r="F129" s="243">
        <f t="shared" ref="F129:N129" si="72">IF(OR(F62="NA",F70="NA",F79="NA"),"NA",-SUM(F62)+SUM(F70)+SUM(F79))</f>
        <v>-9.0899510141184692E-16</v>
      </c>
      <c r="G129" s="243">
        <f t="shared" si="72"/>
        <v>0</v>
      </c>
      <c r="H129" s="243">
        <f t="shared" si="72"/>
        <v>2.9143354396410359E-14</v>
      </c>
      <c r="I129" s="243">
        <f t="shared" si="72"/>
        <v>0</v>
      </c>
      <c r="J129" s="243">
        <f t="shared" si="72"/>
        <v>-3.5527136788005009E-15</v>
      </c>
      <c r="K129" s="243">
        <f t="shared" si="72"/>
        <v>-2.6756374893466273E-14</v>
      </c>
      <c r="L129" s="243">
        <f t="shared" si="72"/>
        <v>0</v>
      </c>
      <c r="M129" s="243">
        <f t="shared" si="72"/>
        <v>4.5297099404706387E-13</v>
      </c>
      <c r="N129" s="243">
        <f t="shared" si="72"/>
        <v>2.9143354396410359E-14</v>
      </c>
      <c r="O129" s="177"/>
      <c r="P129" s="177"/>
      <c r="Q129" s="258"/>
    </row>
    <row r="130" spans="2:17" ht="10.35" customHeight="1" x14ac:dyDescent="0.25">
      <c r="B130" s="274"/>
      <c r="C130" s="136" t="s">
        <v>784</v>
      </c>
      <c r="D130" s="76" t="s">
        <v>48</v>
      </c>
      <c r="E130" s="243">
        <f t="shared" ref="E130:N130" si="73">IF(OR(E63="NA",E64="NA",E65="NA",E66="NA",E67="NA",E68="NA",E69="NA",E70="NA",),"NA",-SUM(E63)+SUM(E64)+SUM(E65)+SUM(E66)+SUM(E67)+SUM(E68)+SUM(E69)+SUM(E70))</f>
        <v>-3.637978807091713E-12</v>
      </c>
      <c r="F130" s="243">
        <f t="shared" si="73"/>
        <v>1.4210854715202004E-14</v>
      </c>
      <c r="G130" s="243">
        <f t="shared" si="73"/>
        <v>0</v>
      </c>
      <c r="H130" s="243">
        <f t="shared" si="73"/>
        <v>0</v>
      </c>
      <c r="I130" s="243">
        <f t="shared" si="73"/>
        <v>0</v>
      </c>
      <c r="J130" s="243">
        <f t="shared" si="73"/>
        <v>-3.694822225952521E-13</v>
      </c>
      <c r="K130" s="243">
        <f t="shared" si="73"/>
        <v>-2.2737367544323206E-13</v>
      </c>
      <c r="L130" s="243">
        <f t="shared" si="73"/>
        <v>0</v>
      </c>
      <c r="M130" s="243">
        <f t="shared" si="73"/>
        <v>3.637978807091713E-12</v>
      </c>
      <c r="N130" s="243">
        <f t="shared" si="73"/>
        <v>3.637978807091713E-12</v>
      </c>
      <c r="O130" s="177"/>
      <c r="P130" s="177"/>
      <c r="Q130" s="258"/>
    </row>
    <row r="131" spans="2:17" ht="10.35" customHeight="1" x14ac:dyDescent="0.25">
      <c r="B131" s="274"/>
      <c r="C131" s="136" t="s">
        <v>785</v>
      </c>
      <c r="D131" s="76" t="s">
        <v>48</v>
      </c>
      <c r="E131" s="243">
        <f t="shared" ref="E131:N131" si="74">IF(OR(E71="NA",E72="NA",E73="NA",E74="NA",E75="NA",E76="NA",E77="NA",E78="NA",E79="NA",),"NA",-SUM(E71)+SUM(E72)+SUM(E73)+SUM(E74)+SUM(E75)+SUM(E76)+SUM(E77)+SUM(E78)+SUM(E79))</f>
        <v>8.2583939686742269E-13</v>
      </c>
      <c r="F131" s="243">
        <f t="shared" si="74"/>
        <v>0</v>
      </c>
      <c r="G131" s="243">
        <f t="shared" si="74"/>
        <v>0</v>
      </c>
      <c r="H131" s="243">
        <f t="shared" si="74"/>
        <v>4.8389070528287448E-13</v>
      </c>
      <c r="I131" s="243">
        <f t="shared" si="74"/>
        <v>0</v>
      </c>
      <c r="J131" s="243">
        <f t="shared" si="74"/>
        <v>-3.5527136788005009E-15</v>
      </c>
      <c r="K131" s="243">
        <f t="shared" si="74"/>
        <v>-2.6756374893466273E-14</v>
      </c>
      <c r="L131" s="243">
        <f t="shared" si="74"/>
        <v>0</v>
      </c>
      <c r="M131" s="243">
        <f t="shared" si="74"/>
        <v>-1.7763568394002505E-15</v>
      </c>
      <c r="N131" s="243">
        <f t="shared" si="74"/>
        <v>-4.2560399649005376E-13</v>
      </c>
      <c r="O131" s="177"/>
      <c r="P131" s="177"/>
      <c r="Q131" s="258"/>
    </row>
    <row r="132" spans="2:17" ht="10.35" customHeight="1" x14ac:dyDescent="0.25">
      <c r="B132" s="274"/>
      <c r="C132" s="136" t="s">
        <v>786</v>
      </c>
      <c r="D132" s="76"/>
      <c r="E132" s="243">
        <f t="shared" ref="E132:N132" si="75">IF(OR(E55="NA",E56="NA",E57="NA",E58="NA",E59="NA",E60="NA"),"NA",-SUM(E55)+SUM(E56)+SUM(E57)+SUM(E58)+SUM(E59)+SUM(E60))</f>
        <v>-3490.3220000000001</v>
      </c>
      <c r="F132" s="243">
        <f t="shared" si="75"/>
        <v>-243.886</v>
      </c>
      <c r="G132" s="243">
        <f t="shared" si="75"/>
        <v>205.91</v>
      </c>
      <c r="H132" s="243">
        <f t="shared" si="75"/>
        <v>-3528.2980000000002</v>
      </c>
      <c r="I132" s="243">
        <f t="shared" si="75"/>
        <v>-417.99030599999998</v>
      </c>
      <c r="J132" s="243">
        <f t="shared" si="75"/>
        <v>-2564.3502309999999</v>
      </c>
      <c r="K132" s="243">
        <f t="shared" si="75"/>
        <v>-514.20967700000006</v>
      </c>
      <c r="L132" s="243">
        <f t="shared" si="75"/>
        <v>0</v>
      </c>
      <c r="M132" s="243">
        <f t="shared" si="75"/>
        <v>-7024.8482140000006</v>
      </c>
      <c r="N132" s="243">
        <f t="shared" si="75"/>
        <v>-3946.2883060000004</v>
      </c>
      <c r="O132" s="177"/>
      <c r="P132" s="177"/>
      <c r="Q132" s="258"/>
    </row>
    <row r="133" spans="2:17" ht="10.35" customHeight="1" x14ac:dyDescent="0.25">
      <c r="B133" s="274"/>
      <c r="C133" s="136" t="s">
        <v>787</v>
      </c>
      <c r="D133" s="76" t="s">
        <v>48</v>
      </c>
      <c r="E133" s="243">
        <f t="shared" ref="E133:N133" si="76">IF(OR(E81="NA",E82="NA",E83="NA",E84="NA"),"NA",-SUM(E81)+SUM(E82)+SUM(E83)+SUM(E84))</f>
        <v>0</v>
      </c>
      <c r="F133" s="243">
        <f t="shared" si="76"/>
        <v>0</v>
      </c>
      <c r="G133" s="243">
        <f t="shared" si="76"/>
        <v>0</v>
      </c>
      <c r="H133" s="243">
        <f t="shared" si="76"/>
        <v>0</v>
      </c>
      <c r="I133" s="243">
        <f t="shared" si="76"/>
        <v>0</v>
      </c>
      <c r="J133" s="243">
        <f t="shared" si="76"/>
        <v>0</v>
      </c>
      <c r="K133" s="243">
        <f t="shared" si="76"/>
        <v>0</v>
      </c>
      <c r="L133" s="243">
        <f t="shared" si="76"/>
        <v>0</v>
      </c>
      <c r="M133" s="243">
        <f t="shared" si="76"/>
        <v>0</v>
      </c>
      <c r="N133" s="243">
        <f t="shared" si="76"/>
        <v>0</v>
      </c>
      <c r="O133" s="177"/>
      <c r="P133" s="177"/>
      <c r="Q133" s="258"/>
    </row>
    <row r="134" spans="2:17" ht="10.35" customHeight="1" x14ac:dyDescent="0.25">
      <c r="B134" s="274"/>
      <c r="C134" s="136" t="s">
        <v>788</v>
      </c>
      <c r="D134" s="76" t="s">
        <v>48</v>
      </c>
      <c r="E134" s="243">
        <f t="shared" ref="E134:N134" si="77">IF(OR(E85="NA",E86="NA",E87="NA",E88="NA"),"NA",-SUM(E85)+SUM(E86)+SUM(E87)+SUM(E88))</f>
        <v>0</v>
      </c>
      <c r="F134" s="243">
        <f t="shared" si="77"/>
        <v>0</v>
      </c>
      <c r="G134" s="243">
        <f t="shared" si="77"/>
        <v>0</v>
      </c>
      <c r="H134" s="243">
        <f t="shared" si="77"/>
        <v>0</v>
      </c>
      <c r="I134" s="243">
        <f t="shared" si="77"/>
        <v>0</v>
      </c>
      <c r="J134" s="243">
        <f t="shared" si="77"/>
        <v>0</v>
      </c>
      <c r="K134" s="243">
        <f t="shared" si="77"/>
        <v>0</v>
      </c>
      <c r="L134" s="243">
        <f t="shared" si="77"/>
        <v>0</v>
      </c>
      <c r="M134" s="243">
        <f t="shared" si="77"/>
        <v>0</v>
      </c>
      <c r="N134" s="243">
        <f t="shared" si="77"/>
        <v>0</v>
      </c>
      <c r="O134" s="177"/>
      <c r="P134" s="177"/>
      <c r="Q134" s="258"/>
    </row>
    <row r="135" spans="2:17" ht="10.35" customHeight="1" x14ac:dyDescent="0.25">
      <c r="B135" s="274"/>
      <c r="C135" s="136" t="s">
        <v>1444</v>
      </c>
      <c r="D135" s="76" t="s">
        <v>48</v>
      </c>
      <c r="E135" s="243">
        <f>IF(OR(E89="NA",Table2!E15="NA"),"NA",-SUM(E89)+SUM(Table2!E15))</f>
        <v>0</v>
      </c>
      <c r="F135" s="243">
        <f>IF(OR(F89="NA",Table2!F15="NA"),"NA",-SUM(F89)+SUM(Table2!F15))</f>
        <v>0</v>
      </c>
      <c r="G135" s="243">
        <f>IF(OR(G89="NA",Table2!G15="NA"),"NA",-SUM(G89)+SUM(Table2!G15))</f>
        <v>0</v>
      </c>
      <c r="H135" s="243">
        <f>IF(OR(H89="NA",Table2!H15="NA"),"NA",-SUM(H89)+SUM(Table2!H15))</f>
        <v>0</v>
      </c>
      <c r="I135" s="243">
        <f>IF(OR(I89="NA",Table2!I15="NA"),"NA",-SUM(I89)+SUM(Table2!I15))</f>
        <v>0</v>
      </c>
      <c r="J135" s="243">
        <f>IF(OR(J89="NA",Table2!J15="NA"),"NA",-SUM(J89)+SUM(Table2!J15))</f>
        <v>0</v>
      </c>
      <c r="K135" s="243">
        <f>IF(OR(K89="NA",Table2!K15="NA"),"NA",-SUM(K89)+SUM(Table2!K15))</f>
        <v>0</v>
      </c>
      <c r="L135" s="243">
        <f>IF(OR(L89="NA",Table2!L15="NA"),"NA",-SUM(L89)+SUM(Table2!L15))</f>
        <v>0</v>
      </c>
      <c r="M135" s="243">
        <f>IF(OR(M89="NA",Table2!M15="NA"),"NA",-SUM(M89)+SUM(Table2!M15))</f>
        <v>0</v>
      </c>
      <c r="N135" s="243">
        <f>IF(OR(N89="NA",Table2!N15="NA"),"NA",-SUM(N89)+SUM(Table2!N15))</f>
        <v>0</v>
      </c>
      <c r="O135" s="177"/>
      <c r="P135" s="177"/>
      <c r="Q135" s="258"/>
    </row>
    <row r="136" spans="2:17" ht="10.35" customHeight="1" x14ac:dyDescent="0.25">
      <c r="B136" s="210"/>
      <c r="C136" s="136" t="s">
        <v>789</v>
      </c>
      <c r="D136" s="76" t="s">
        <v>48</v>
      </c>
      <c r="E136" s="243">
        <f t="shared" ref="E136:N136" si="78">IF(OR(E9="NA",E81="NA",E85="NA",E89="NA"),"NA",-SUM(E9)+SUM(E81)-SUM(E85)-SUM(E89))</f>
        <v>-13404.991748</v>
      </c>
      <c r="F136" s="243">
        <f t="shared" si="78"/>
        <v>50.110927000000018</v>
      </c>
      <c r="G136" s="243">
        <f t="shared" si="78"/>
        <v>0</v>
      </c>
      <c r="H136" s="243">
        <f t="shared" si="78"/>
        <v>-13354.880820999999</v>
      </c>
      <c r="I136" s="243">
        <f t="shared" si="78"/>
        <v>-533.76494099999991</v>
      </c>
      <c r="J136" s="243">
        <f t="shared" si="78"/>
        <v>-3367.5055032601299</v>
      </c>
      <c r="K136" s="243">
        <f t="shared" si="78"/>
        <v>-12587.227161999999</v>
      </c>
      <c r="L136" s="243">
        <f t="shared" si="78"/>
        <v>0</v>
      </c>
      <c r="M136" s="243">
        <f t="shared" si="78"/>
        <v>-29843.378427260126</v>
      </c>
      <c r="N136" s="243">
        <f t="shared" si="78"/>
        <v>-13888.645761999998</v>
      </c>
      <c r="O136" s="177"/>
      <c r="P136" s="177"/>
      <c r="Q136" s="258"/>
    </row>
    <row r="137" spans="2:17" ht="10.35" hidden="1" customHeight="1" x14ac:dyDescent="0.25">
      <c r="B137" s="210"/>
      <c r="C137" s="136" t="s">
        <v>777</v>
      </c>
      <c r="D137" s="76" t="s">
        <v>48</v>
      </c>
      <c r="E137" s="243" t="str">
        <f t="shared" ref="E137:N137" si="79">IF(OR(E90="NA",E91="NA",E92="NA",E93="NA",E94="NA"),"NA",-SUM(E90)+SUM(E91)+SUM(E92)+SUM(E93)+SUM(E94))</f>
        <v>NA</v>
      </c>
      <c r="F137" s="243" t="str">
        <f t="shared" si="79"/>
        <v>NA</v>
      </c>
      <c r="G137" s="243" t="str">
        <f t="shared" si="79"/>
        <v>NA</v>
      </c>
      <c r="H137" s="243" t="str">
        <f t="shared" si="79"/>
        <v>NA</v>
      </c>
      <c r="I137" s="243" t="str">
        <f t="shared" si="79"/>
        <v>NA</v>
      </c>
      <c r="J137" s="243" t="str">
        <f t="shared" si="79"/>
        <v>NA</v>
      </c>
      <c r="K137" s="243" t="str">
        <f t="shared" si="79"/>
        <v>NA</v>
      </c>
      <c r="L137" s="243" t="str">
        <f t="shared" si="79"/>
        <v>NA</v>
      </c>
      <c r="M137" s="243" t="str">
        <f t="shared" si="79"/>
        <v>NA</v>
      </c>
      <c r="N137" s="243" t="str">
        <f t="shared" si="79"/>
        <v>NA</v>
      </c>
      <c r="O137" s="177"/>
      <c r="P137" s="177"/>
      <c r="Q137" s="258"/>
    </row>
    <row r="138" spans="2:17" ht="10.35" customHeight="1" x14ac:dyDescent="0.25">
      <c r="B138" s="210"/>
      <c r="C138" s="136" t="s">
        <v>790</v>
      </c>
      <c r="D138" s="76"/>
      <c r="E138" s="243" t="str">
        <f t="shared" ref="E138:N138" si="80">IF(OR(E96="NA",E50="NA",E51="NA",E52="NA",E53="NA",E55="NA",E62="NA"),"NA",-SUM(E96)+SUM(E50)+SUM(E51)+SUM(E52)+SUM(E53)+SUM(E55)+SUM(E62))</f>
        <v>NA</v>
      </c>
      <c r="F138" s="243" t="str">
        <f t="shared" si="80"/>
        <v>NA</v>
      </c>
      <c r="G138" s="243" t="str">
        <f t="shared" si="80"/>
        <v>NA</v>
      </c>
      <c r="H138" s="243" t="str">
        <f t="shared" si="80"/>
        <v>NA</v>
      </c>
      <c r="I138" s="243" t="str">
        <f t="shared" si="80"/>
        <v>NA</v>
      </c>
      <c r="J138" s="243" t="str">
        <f t="shared" si="80"/>
        <v>NA</v>
      </c>
      <c r="K138" s="243" t="str">
        <f t="shared" si="80"/>
        <v>NA</v>
      </c>
      <c r="L138" s="243" t="str">
        <f t="shared" si="80"/>
        <v>NA</v>
      </c>
      <c r="M138" s="243" t="str">
        <f t="shared" si="80"/>
        <v>NA</v>
      </c>
      <c r="N138" s="243" t="str">
        <f t="shared" si="80"/>
        <v>NA</v>
      </c>
      <c r="O138" s="177"/>
      <c r="P138" s="177"/>
      <c r="Q138" s="258"/>
    </row>
    <row r="139" spans="2:17" ht="10.35" customHeight="1" x14ac:dyDescent="0.25">
      <c r="B139" s="210"/>
      <c r="C139" s="136" t="s">
        <v>791</v>
      </c>
      <c r="D139" s="76"/>
      <c r="E139" s="243" t="str">
        <f t="shared" ref="E139:N139" si="81">IF(OR(E97="NA",E50="NA",E51="NA",E52="NA",E53="NA",E62="NA"),"NA",-SUM(E97)+SUM(E50)+SUM(E51)+SUM(E52)+SUM(E53)+SUM(E62))</f>
        <v>NA</v>
      </c>
      <c r="F139" s="243" t="str">
        <f t="shared" si="81"/>
        <v>NA</v>
      </c>
      <c r="G139" s="243" t="str">
        <f t="shared" si="81"/>
        <v>NA</v>
      </c>
      <c r="H139" s="243" t="str">
        <f t="shared" si="81"/>
        <v>NA</v>
      </c>
      <c r="I139" s="243" t="str">
        <f t="shared" si="81"/>
        <v>NA</v>
      </c>
      <c r="J139" s="243" t="str">
        <f t="shared" si="81"/>
        <v>NA</v>
      </c>
      <c r="K139" s="243" t="str">
        <f t="shared" si="81"/>
        <v>NA</v>
      </c>
      <c r="L139" s="243" t="str">
        <f t="shared" si="81"/>
        <v>NA</v>
      </c>
      <c r="M139" s="243" t="str">
        <f t="shared" si="81"/>
        <v>NA</v>
      </c>
      <c r="N139" s="243" t="str">
        <f t="shared" si="81"/>
        <v>NA</v>
      </c>
      <c r="O139" s="177"/>
      <c r="P139" s="177"/>
      <c r="Q139" s="258"/>
    </row>
    <row r="140" spans="2:17" ht="10.35" customHeight="1" x14ac:dyDescent="0.25">
      <c r="B140" s="210"/>
      <c r="C140" s="136" t="s">
        <v>792</v>
      </c>
      <c r="D140" s="76"/>
      <c r="E140" s="243">
        <f t="shared" ref="E140:N140" si="82">IF(OR(E98="NA",E50="NA",E51="NA",E52="NA",E53="NA"),"NA",-SUM(E98)+SUM(E50)+SUM(E51)+SUM(E52)+SUM(E53))</f>
        <v>-3.637978807091713E-12</v>
      </c>
      <c r="F140" s="243">
        <f t="shared" si="82"/>
        <v>6.2172489379008766E-15</v>
      </c>
      <c r="G140" s="243">
        <f t="shared" si="82"/>
        <v>0</v>
      </c>
      <c r="H140" s="243">
        <f t="shared" si="82"/>
        <v>-2.7284841053187847E-12</v>
      </c>
      <c r="I140" s="243">
        <f t="shared" si="82"/>
        <v>2.55351295663786E-15</v>
      </c>
      <c r="J140" s="243">
        <f t="shared" si="82"/>
        <v>5.6843418860808015E-14</v>
      </c>
      <c r="K140" s="243">
        <f t="shared" si="82"/>
        <v>0</v>
      </c>
      <c r="L140" s="243">
        <f t="shared" si="82"/>
        <v>0</v>
      </c>
      <c r="M140" s="243">
        <f t="shared" si="82"/>
        <v>-9.0949470177292824E-13</v>
      </c>
      <c r="N140" s="243">
        <f t="shared" si="82"/>
        <v>-1.8189894035458565E-12</v>
      </c>
      <c r="O140" s="177"/>
      <c r="P140" s="177"/>
      <c r="Q140" s="258"/>
    </row>
    <row r="141" spans="2:17" ht="10.35" customHeight="1" x14ac:dyDescent="0.25">
      <c r="B141" s="211"/>
      <c r="C141" s="208" t="s">
        <v>793</v>
      </c>
      <c r="D141" s="140"/>
      <c r="E141" s="244">
        <f t="shared" ref="E141:N141" si="83">IF(OR(E99="NA",E52="NA",E53="NA"),"NA",-SUM(E99)+SUM(E52)+SUM(E53))</f>
        <v>-3.637978807091713E-12</v>
      </c>
      <c r="F141" s="244">
        <f t="shared" si="83"/>
        <v>0</v>
      </c>
      <c r="G141" s="244">
        <f t="shared" si="83"/>
        <v>0</v>
      </c>
      <c r="H141" s="244">
        <f t="shared" si="83"/>
        <v>-2.7284841053187847E-12</v>
      </c>
      <c r="I141" s="244">
        <f t="shared" si="83"/>
        <v>-1.1102230246251565E-16</v>
      </c>
      <c r="J141" s="244">
        <f t="shared" si="83"/>
        <v>0</v>
      </c>
      <c r="K141" s="244">
        <f t="shared" si="83"/>
        <v>0</v>
      </c>
      <c r="L141" s="244">
        <f t="shared" si="83"/>
        <v>0</v>
      </c>
      <c r="M141" s="244">
        <f t="shared" si="83"/>
        <v>-9.0949470177292824E-13</v>
      </c>
      <c r="N141" s="244">
        <f t="shared" si="83"/>
        <v>-1.8189894035458565E-12</v>
      </c>
      <c r="O141" s="177"/>
      <c r="P141" s="177"/>
      <c r="Q141" s="258"/>
    </row>
    <row r="142" spans="2:17" ht="10.35" customHeight="1" x14ac:dyDescent="0.25">
      <c r="B142" s="718" t="s">
        <v>3083</v>
      </c>
      <c r="C142" s="136"/>
      <c r="D142" s="76" t="s">
        <v>48</v>
      </c>
      <c r="E142" s="243"/>
      <c r="F142" s="243"/>
      <c r="G142" s="243"/>
      <c r="H142" s="243"/>
      <c r="I142" s="243"/>
      <c r="J142" s="243"/>
      <c r="K142" s="243"/>
      <c r="L142" s="243"/>
      <c r="M142" s="243"/>
      <c r="N142" s="243"/>
      <c r="O142" s="177"/>
      <c r="P142" s="177"/>
      <c r="Q142" s="258"/>
    </row>
    <row r="143" spans="2:17" ht="10.35" customHeight="1" x14ac:dyDescent="0.25">
      <c r="B143" s="275"/>
      <c r="C143" s="136" t="s">
        <v>2679</v>
      </c>
      <c r="D143" s="76" t="s">
        <v>48</v>
      </c>
      <c r="E143" s="243">
        <f>IF(OR(E95="NA",StatementI!D31="NA",StatementI!D39="NA"),"NA",-SUM(E95)+SUM(StatementI!D31)-SUM(StatementI!D39))</f>
        <v>-34693.509480147972</v>
      </c>
      <c r="F143" s="243">
        <f>IF(OR(F95="NA",StatementI!E31="NA",StatementI!E39="NA"),"NA",-SUM(F95)+SUM(StatementI!E31)-SUM(StatementI!E39))</f>
        <v>1194.0724260000011</v>
      </c>
      <c r="G143" s="243">
        <f>IF(OR(G95="NA",StatementI!F31="NA",StatementI!F39="NA"),"NA",-SUM(G95)+SUM(StatementI!F31)-SUM(StatementI!F39))</f>
        <v>3975.5815219999795</v>
      </c>
      <c r="H143" s="243">
        <f>IF(OR(H95="NA",StatementI!G31="NA",StatementI!G39="NA"),"NA",-SUM(H95)+SUM(StatementI!G31)-SUM(StatementI!G39))</f>
        <v>-29523.787690147954</v>
      </c>
      <c r="I143" s="243">
        <f>IF(OR(I95="NA",StatementI!H31="NA",StatementI!H39="NA"),"NA",-SUM(I95)+SUM(StatementI!H31)-SUM(StatementI!H39))</f>
        <v>2487.7570619999983</v>
      </c>
      <c r="J143" s="243">
        <f>IF(OR(J95="NA",StatementI!I31="NA",StatementI!I39="NA"),"NA",-SUM(J95)+SUM(StatementI!I31)-SUM(StatementI!I39))</f>
        <v>5219.2861031357315</v>
      </c>
      <c r="K143" s="243">
        <f>IF(OR(K95="NA",StatementI!J31="NA",StatementI!J39="NA"),"NA",-SUM(K95)+SUM(StatementI!J31)-SUM(StatementI!J39))</f>
        <v>-19518.546018040004</v>
      </c>
      <c r="L143" s="243">
        <f>IF(OR(L95="NA",StatementI!K31="NA",StatementI!K39="NA"),"NA",-SUM(L95)+SUM(StatementI!K31)-SUM(StatementI!K39))</f>
        <v>7871.3940240000175</v>
      </c>
      <c r="M143" s="243">
        <f>IF(OR(M95="NA",StatementI!L31="NA",StatementI!L39="NA"),"NA",-SUM(M95)+SUM(StatementI!L31)-SUM(StatementI!L39))</f>
        <v>-33463.896519052352</v>
      </c>
      <c r="N143" s="243">
        <f>IF(OR(N95="NA",StatementI!M31="NA",StatementI!M39="NA"),"NA",-SUM(N95)+SUM(StatementI!M31)-SUM(StatementI!M39))</f>
        <v>-27036.030628147993</v>
      </c>
      <c r="O143" s="177"/>
      <c r="P143" s="177"/>
      <c r="Q143" s="258"/>
    </row>
    <row r="144" spans="2:17" ht="10.35" customHeight="1" x14ac:dyDescent="0.25">
      <c r="B144" s="204"/>
      <c r="C144" s="208" t="s">
        <v>2680</v>
      </c>
      <c r="D144" s="140" t="s">
        <v>48</v>
      </c>
      <c r="E144" s="244">
        <f>IF(OR(E95="NA",StatementII!E30="NA",StatementII!E40="NA"),"NA",-SUM(E95)+SUM(StatementII!E30)-SUM(StatementII!E40))</f>
        <v>33142.145543926003</v>
      </c>
      <c r="F144" s="244">
        <f>IF(OR(F95="NA",StatementII!F30="NA",StatementII!F40="NA"),"NA",-SUM(F95)+SUM(StatementII!F30)-SUM(StatementII!F40))</f>
        <v>49.14084900000006</v>
      </c>
      <c r="G144" s="244">
        <f>IF(OR(G95="NA",StatementII!G30="NA",StatementII!G40="NA"),"NA",-SUM(G95)+SUM(StatementII!G30)-SUM(StatementII!G40))</f>
        <v>1697.5920000000001</v>
      </c>
      <c r="H144" s="244">
        <f>IF(OR(H95="NA",StatementII!H30="NA",StatementII!H40="NA"),"NA",-SUM(H95)+SUM(StatementII!H30)-SUM(StatementII!H40))</f>
        <v>34888.87839292601</v>
      </c>
      <c r="I144" s="244">
        <f>IF(OR(I95="NA",StatementII!I30="NA",StatementII!I40="NA"),"NA",-SUM(I95)+SUM(StatementII!I30)-SUM(StatementII!I40))</f>
        <v>1023.0225109999999</v>
      </c>
      <c r="J144" s="244">
        <f>IF(OR(J95="NA",StatementII!J30="NA",StatementII!J40="NA"),"NA",-SUM(J95)+SUM(StatementII!J30)-SUM(StatementII!J40))</f>
        <v>1017.5858508280003</v>
      </c>
      <c r="K144" s="244">
        <f>IF(OR(K95="NA",StatementII!K30="NA",StatementII!K40="NA"),"NA",-SUM(K95)+SUM(StatementII!K30)-SUM(StatementII!K40))</f>
        <v>-8983.5600240200001</v>
      </c>
      <c r="L144" s="244">
        <f>IF(OR(L95="NA",StatementII!L30="NA",StatementII!L40="NA"),"NA",-SUM(L95)+SUM(StatementII!L30)-SUM(StatementII!L40))</f>
        <v>844.96100000000001</v>
      </c>
      <c r="M144" s="244">
        <f>IF(OR(M95="NA",StatementII!M30="NA",StatementII!M40="NA"),"NA",-SUM(M95)+SUM(StatementII!M30)-SUM(StatementII!M40))</f>
        <v>28790.887730733994</v>
      </c>
      <c r="N144" s="244">
        <f>IF(OR(N95="NA",StatementII!N30="NA",StatementII!N40="NA"),"NA",-SUM(N95)+SUM(StatementII!N30)-SUM(StatementII!N40))</f>
        <v>35911.900903925991</v>
      </c>
      <c r="O144" s="177"/>
      <c r="P144" s="177"/>
      <c r="Q144" s="258"/>
    </row>
    <row r="145" spans="2:17" ht="10.35" customHeight="1" x14ac:dyDescent="0.25">
      <c r="B145" s="719" t="s">
        <v>2777</v>
      </c>
      <c r="C145" s="720"/>
      <c r="D145" s="103"/>
      <c r="E145" s="212"/>
      <c r="F145" s="212"/>
      <c r="G145" s="212"/>
      <c r="H145" s="212"/>
      <c r="I145" s="212"/>
      <c r="J145" s="212"/>
      <c r="K145" s="212"/>
      <c r="L145" s="212"/>
      <c r="M145" s="212"/>
      <c r="N145" s="212"/>
      <c r="O145" s="177"/>
      <c r="P145" s="177"/>
      <c r="Q145" s="258"/>
    </row>
    <row r="146" spans="2:17" ht="10.35" customHeight="1" x14ac:dyDescent="0.25">
      <c r="B146" s="719"/>
      <c r="C146" s="721" t="s">
        <v>2778</v>
      </c>
      <c r="D146" s="103"/>
      <c r="E146" s="212"/>
      <c r="F146" s="212"/>
      <c r="G146" s="212"/>
      <c r="H146" s="212"/>
      <c r="I146" s="212"/>
      <c r="J146" s="212"/>
      <c r="K146" s="212"/>
      <c r="L146" s="212"/>
      <c r="M146" s="212"/>
      <c r="N146" s="212"/>
      <c r="O146" s="177"/>
      <c r="P146" s="177"/>
      <c r="Q146" s="258"/>
    </row>
    <row r="147" spans="2:17" ht="10.35" customHeight="1" x14ac:dyDescent="0.25">
      <c r="B147" s="722"/>
      <c r="C147" s="723" t="s">
        <v>3084</v>
      </c>
      <c r="D147" s="103"/>
      <c r="E147" s="215"/>
      <c r="F147" s="215"/>
      <c r="G147" s="203" t="str">
        <f>IF(OR(G3="NA"),"NA",IF(ROUND(SUM(G3),1)=0,"si","verificar!"))</f>
        <v>si</v>
      </c>
      <c r="H147" s="215"/>
      <c r="I147" s="215"/>
      <c r="J147" s="215"/>
      <c r="K147" s="215"/>
      <c r="L147" s="203" t="str">
        <f>IF(OR(L3="NA"),"NA",IF(ROUND(SUM(L3),1)=0,"si","verificar!"))</f>
        <v>si</v>
      </c>
      <c r="M147" s="215"/>
      <c r="N147" s="215"/>
      <c r="O147" s="177"/>
      <c r="P147" s="177"/>
      <c r="Q147" s="258"/>
    </row>
    <row r="148" spans="2:17" ht="10.35" customHeight="1" x14ac:dyDescent="0.25">
      <c r="B148" s="722"/>
      <c r="C148" s="723" t="s">
        <v>3085</v>
      </c>
      <c r="D148" s="103"/>
      <c r="E148" s="215"/>
      <c r="F148" s="215"/>
      <c r="G148" s="203" t="str">
        <f>IF(OR(G16="NA",G43),"NA",IF(ROUND(SUM(G16)-SUM(G43),1)=0,"si","verificar!"))</f>
        <v>si</v>
      </c>
      <c r="H148" s="215"/>
      <c r="I148" s="215"/>
      <c r="J148" s="215"/>
      <c r="K148" s="215"/>
      <c r="L148" s="203" t="str">
        <f>IF(OR(L16="NA",L43),"NA",IF(ROUND(SUM(L16)-SUM(L43),1)=0,"si","verificar!"))</f>
        <v>si</v>
      </c>
      <c r="M148" s="215"/>
      <c r="N148" s="215"/>
      <c r="O148" s="177"/>
      <c r="P148" s="177"/>
      <c r="Q148" s="258"/>
    </row>
    <row r="149" spans="2:17" ht="10.35" customHeight="1" x14ac:dyDescent="0.25">
      <c r="B149" s="719"/>
      <c r="C149" s="721" t="s">
        <v>2840</v>
      </c>
      <c r="D149" s="103"/>
      <c r="E149" s="212"/>
      <c r="F149" s="212"/>
      <c r="G149" s="216"/>
      <c r="H149" s="212"/>
      <c r="I149" s="212"/>
      <c r="J149" s="212"/>
      <c r="K149" s="212"/>
      <c r="L149" s="216"/>
      <c r="M149" s="212"/>
      <c r="N149" s="212"/>
      <c r="O149" s="177"/>
      <c r="P149" s="177"/>
      <c r="Q149" s="258"/>
    </row>
    <row r="150" spans="2:17" ht="10.35" customHeight="1" x14ac:dyDescent="0.25">
      <c r="B150" s="722"/>
      <c r="C150" s="723" t="s">
        <v>3086</v>
      </c>
      <c r="D150" s="103"/>
      <c r="E150" s="215"/>
      <c r="F150" s="215"/>
      <c r="G150" s="203" t="str">
        <f t="array" ref="G150">+IF(AND(ROUND(G10:G21,1)=0),"si","Vérificar!")</f>
        <v>si</v>
      </c>
      <c r="H150" s="215"/>
      <c r="I150" s="215"/>
      <c r="J150" s="215"/>
      <c r="K150" s="215"/>
      <c r="L150" s="203" t="str">
        <f t="array" ref="L150">+IF(AND(ROUND(L10:L21,1)=0),"si","Vérificar!")</f>
        <v>si</v>
      </c>
      <c r="M150" s="215"/>
      <c r="N150" s="215"/>
      <c r="O150" s="177"/>
      <c r="P150" s="177"/>
      <c r="Q150" s="258"/>
    </row>
    <row r="151" spans="2:17" ht="10.35" customHeight="1" x14ac:dyDescent="0.25">
      <c r="B151" s="722"/>
      <c r="C151" s="723" t="s">
        <v>3087</v>
      </c>
      <c r="D151" s="103"/>
      <c r="E151" s="215"/>
      <c r="F151" s="215"/>
      <c r="G151" s="203" t="str">
        <f t="array" ref="G151">+IF(AND(ROUND(G40:G48,1)=0),"si","Vérificar!")</f>
        <v>si</v>
      </c>
      <c r="H151" s="215"/>
      <c r="I151" s="215"/>
      <c r="J151" s="215"/>
      <c r="K151" s="215"/>
      <c r="L151" s="203" t="str">
        <f t="array" ref="L151">+IF(AND(ROUND(L40:L48,1)=0),"si","Vérificar!")</f>
        <v>si</v>
      </c>
      <c r="M151" s="215"/>
      <c r="N151" s="215"/>
      <c r="O151" s="177"/>
      <c r="P151" s="177"/>
      <c r="Q151" s="258"/>
    </row>
    <row r="152" spans="2:17" s="103" customFormat="1" ht="10.9" customHeight="1" x14ac:dyDescent="0.15">
      <c r="B152" s="722"/>
      <c r="C152" s="723" t="s">
        <v>3088</v>
      </c>
      <c r="E152" s="215"/>
      <c r="F152" s="215"/>
      <c r="G152" s="203" t="str">
        <f t="array" ref="G152">IF(OR(G71:G79="NA"),"NA",IF(AND(ROUND(G71:G79,1)=0),"si","Vérificar!"))</f>
        <v>si</v>
      </c>
      <c r="H152" s="215"/>
      <c r="I152" s="215"/>
      <c r="J152" s="215"/>
      <c r="K152" s="215"/>
      <c r="L152" s="203" t="str">
        <f t="array" ref="L152">IF(OR(L71:L79="NA"),"NA",IF(AND(ROUND(L71:L79,1)=0),"si","Vérificar!"))</f>
        <v>si</v>
      </c>
      <c r="M152" s="215"/>
      <c r="N152" s="215"/>
      <c r="O152" s="191"/>
      <c r="P152" s="191"/>
      <c r="Q152" s="191"/>
    </row>
    <row r="153" spans="2:17" s="103" customFormat="1" ht="10.9" customHeight="1" x14ac:dyDescent="0.15">
      <c r="B153" s="719"/>
      <c r="C153" s="721" t="s">
        <v>2960</v>
      </c>
      <c r="E153" s="212"/>
      <c r="F153" s="212"/>
      <c r="G153" s="216"/>
      <c r="H153" s="212"/>
      <c r="I153" s="212"/>
      <c r="J153" s="212"/>
      <c r="K153" s="212"/>
      <c r="L153" s="216"/>
      <c r="M153" s="212"/>
      <c r="N153" s="212"/>
      <c r="O153" s="191"/>
      <c r="P153" s="191"/>
      <c r="Q153" s="191"/>
    </row>
    <row r="154" spans="2:17" s="103" customFormat="1" ht="10.9" customHeight="1" x14ac:dyDescent="0.15">
      <c r="B154" s="722"/>
      <c r="C154" s="723" t="s">
        <v>3089</v>
      </c>
      <c r="E154" s="215"/>
      <c r="F154" s="215"/>
      <c r="G154" s="203" t="str">
        <f t="shared" ref="G154:G159" si="84">IF(OR(G17="NA",G44="NA"),"NA",IF(ROUND(SUM(G17),1)=ROUND(SUM(G44),1),"si","verificar!"))</f>
        <v>si</v>
      </c>
      <c r="H154" s="215"/>
      <c r="I154" s="215"/>
      <c r="J154" s="215"/>
      <c r="K154" s="215"/>
      <c r="L154" s="203" t="str">
        <f t="shared" ref="L154:L159" si="85">IF(OR(L17="NA",L44="NA"),"NA",IF(ROUND(SUM(L17),1)=ROUND(SUM(L44),1),"si","verificar!"))</f>
        <v>si</v>
      </c>
      <c r="M154" s="215"/>
      <c r="N154" s="215"/>
      <c r="O154" s="191"/>
      <c r="P154" s="191"/>
      <c r="Q154" s="191"/>
    </row>
    <row r="155" spans="2:17" s="103" customFormat="1" ht="10.9" customHeight="1" x14ac:dyDescent="0.15">
      <c r="B155" s="722"/>
      <c r="C155" s="723" t="s">
        <v>3090</v>
      </c>
      <c r="E155" s="215"/>
      <c r="F155" s="215"/>
      <c r="G155" s="203" t="str">
        <f t="shared" si="84"/>
        <v>si</v>
      </c>
      <c r="H155" s="215"/>
      <c r="I155" s="215"/>
      <c r="J155" s="215"/>
      <c r="K155" s="215"/>
      <c r="L155" s="203" t="str">
        <f t="shared" si="85"/>
        <v>si</v>
      </c>
      <c r="M155" s="215"/>
      <c r="N155" s="215"/>
      <c r="O155" s="191"/>
      <c r="P155" s="191"/>
      <c r="Q155" s="191"/>
    </row>
    <row r="156" spans="2:17" s="103" customFormat="1" ht="10.9" customHeight="1" x14ac:dyDescent="0.15">
      <c r="B156" s="722"/>
      <c r="C156" s="723" t="s">
        <v>3091</v>
      </c>
      <c r="E156" s="215"/>
      <c r="F156" s="215"/>
      <c r="G156" s="203" t="str">
        <f t="shared" si="84"/>
        <v>si</v>
      </c>
      <c r="H156" s="215"/>
      <c r="I156" s="215"/>
      <c r="J156" s="215"/>
      <c r="K156" s="215"/>
      <c r="L156" s="203" t="str">
        <f t="shared" si="85"/>
        <v>si</v>
      </c>
      <c r="M156" s="215"/>
      <c r="N156" s="215"/>
      <c r="O156" s="191"/>
      <c r="P156" s="191"/>
      <c r="Q156" s="191"/>
    </row>
    <row r="157" spans="2:17" s="103" customFormat="1" ht="10.9" customHeight="1" x14ac:dyDescent="0.15">
      <c r="B157" s="722"/>
      <c r="C157" s="723" t="s">
        <v>3092</v>
      </c>
      <c r="E157" s="215"/>
      <c r="F157" s="215"/>
      <c r="G157" s="203" t="str">
        <f t="shared" si="84"/>
        <v>si</v>
      </c>
      <c r="H157" s="215"/>
      <c r="I157" s="215"/>
      <c r="J157" s="215"/>
      <c r="K157" s="215"/>
      <c r="L157" s="203" t="str">
        <f t="shared" si="85"/>
        <v>si</v>
      </c>
      <c r="M157" s="215"/>
      <c r="N157" s="215"/>
      <c r="O157" s="191"/>
      <c r="P157" s="191"/>
      <c r="Q157" s="191"/>
    </row>
    <row r="158" spans="2:17" s="103" customFormat="1" ht="10.9" customHeight="1" x14ac:dyDescent="0.15">
      <c r="B158" s="722"/>
      <c r="C158" s="723" t="s">
        <v>3093</v>
      </c>
      <c r="E158" s="215"/>
      <c r="F158" s="215"/>
      <c r="G158" s="203" t="str">
        <f t="shared" si="84"/>
        <v>si</v>
      </c>
      <c r="H158" s="215"/>
      <c r="I158" s="215"/>
      <c r="J158" s="215"/>
      <c r="K158" s="215"/>
      <c r="L158" s="203" t="str">
        <f t="shared" si="85"/>
        <v>si</v>
      </c>
      <c r="M158" s="215"/>
      <c r="N158" s="215"/>
      <c r="O158" s="191"/>
      <c r="P158" s="191"/>
      <c r="Q158" s="191"/>
    </row>
    <row r="159" spans="2:17" s="103" customFormat="1" ht="10.9" customHeight="1" x14ac:dyDescent="0.15">
      <c r="B159" s="722"/>
      <c r="C159" s="723" t="s">
        <v>3094</v>
      </c>
      <c r="E159" s="215"/>
      <c r="F159" s="215"/>
      <c r="G159" s="203" t="str">
        <f t="shared" si="84"/>
        <v>verificar!</v>
      </c>
      <c r="H159" s="215"/>
      <c r="I159" s="215"/>
      <c r="J159" s="215"/>
      <c r="K159" s="215"/>
      <c r="L159" s="203" t="str">
        <f t="shared" si="85"/>
        <v>verificar!</v>
      </c>
      <c r="M159" s="215"/>
      <c r="N159" s="215"/>
      <c r="O159" s="191"/>
      <c r="P159" s="191"/>
      <c r="Q159" s="191"/>
    </row>
    <row r="160" spans="2:17" s="103" customFormat="1" ht="10.9" customHeight="1" x14ac:dyDescent="0.15">
      <c r="B160" s="722"/>
      <c r="C160" s="723" t="s">
        <v>3095</v>
      </c>
      <c r="E160" s="215"/>
      <c r="F160" s="215"/>
      <c r="G160" s="203" t="str">
        <f>IF(OR(G23="NA",G55="NA"),"NA",IF(ROUND(SUM(G23),1)=ROUND(SUM(G55),1),"si","verificar!"))</f>
        <v>verificar!</v>
      </c>
      <c r="H160" s="215"/>
      <c r="I160" s="215"/>
      <c r="J160" s="215"/>
      <c r="K160" s="215"/>
      <c r="L160" s="203" t="str">
        <f>IF(OR(L23="NA",L55="NA"),"NA",IF(ROUND(SUM(L23),1)=ROUND(SUM(L55),1),"si","verificar!"))</f>
        <v>si</v>
      </c>
      <c r="M160" s="215"/>
      <c r="N160" s="215"/>
      <c r="O160" s="191"/>
      <c r="P160" s="191"/>
      <c r="Q160" s="191"/>
    </row>
    <row r="161" spans="2:17" s="103" customFormat="1" ht="10.9" customHeight="1" x14ac:dyDescent="0.15">
      <c r="B161" s="722"/>
      <c r="C161" s="723" t="s">
        <v>3096</v>
      </c>
      <c r="E161" s="215"/>
      <c r="F161" s="215"/>
      <c r="G161" s="203" t="str">
        <f>IF(OR(G24="NA",G56="NA"),"NA",IF(ROUND(SUM(G24),1)=ROUND(SUM(G56),1),"si","verificar!"))</f>
        <v>verificar!</v>
      </c>
      <c r="H161" s="215"/>
      <c r="I161" s="215"/>
      <c r="J161" s="215"/>
      <c r="K161" s="215"/>
      <c r="L161" s="203" t="str">
        <f>IF(OR(L24="NA",L56="NA"),"NA",IF(ROUND(SUM(L24),1)=ROUND(SUM(L56),1),"si","verificar!"))</f>
        <v>si</v>
      </c>
      <c r="M161" s="215"/>
      <c r="N161" s="215"/>
      <c r="O161" s="191"/>
      <c r="P161" s="191"/>
      <c r="Q161" s="191"/>
    </row>
    <row r="162" spans="2:17" s="103" customFormat="1" ht="10.9" customHeight="1" x14ac:dyDescent="0.15">
      <c r="B162" s="276"/>
      <c r="C162" s="94"/>
      <c r="D162" s="77" t="s">
        <v>48</v>
      </c>
      <c r="E162" s="277"/>
      <c r="F162" s="277"/>
      <c r="G162" s="277"/>
      <c r="H162" s="277"/>
      <c r="I162" s="277"/>
      <c r="J162" s="277"/>
      <c r="K162" s="277"/>
      <c r="L162" s="277"/>
      <c r="M162" s="277"/>
      <c r="N162" s="277"/>
      <c r="O162" s="191"/>
      <c r="P162" s="191"/>
      <c r="Q162" s="191"/>
    </row>
    <row r="163" spans="2:17" s="103" customFormat="1" ht="10.9" customHeight="1" x14ac:dyDescent="0.2">
      <c r="B163" s="256"/>
      <c r="C163" s="257"/>
      <c r="D163" s="257"/>
      <c r="E163" s="164"/>
      <c r="F163" s="164"/>
      <c r="G163" s="164"/>
      <c r="H163" s="164"/>
      <c r="I163" s="164"/>
      <c r="J163" s="164"/>
      <c r="K163" s="164"/>
      <c r="L163" s="164"/>
      <c r="M163" s="164"/>
      <c r="N163" s="164"/>
      <c r="O163" s="191"/>
      <c r="P163" s="191"/>
      <c r="Q163" s="191"/>
    </row>
    <row r="164" spans="2:17" s="103" customFormat="1" ht="10.9" customHeight="1" x14ac:dyDescent="0.2">
      <c r="B164" s="256"/>
      <c r="C164" s="257"/>
      <c r="D164" s="257"/>
      <c r="E164" s="278"/>
      <c r="F164" s="271"/>
      <c r="G164" s="271"/>
      <c r="H164" s="164"/>
      <c r="I164" s="164"/>
      <c r="J164" s="164"/>
      <c r="K164" s="164"/>
      <c r="L164" s="164"/>
      <c r="M164" s="164"/>
      <c r="N164" s="164"/>
      <c r="O164" s="191"/>
      <c r="P164" s="191"/>
      <c r="Q164" s="191"/>
    </row>
    <row r="165" spans="2:17" s="103" customFormat="1" ht="10.9" customHeight="1" x14ac:dyDescent="0.2">
      <c r="B165" s="256"/>
      <c r="C165" s="257"/>
      <c r="D165" s="257"/>
      <c r="E165" s="164"/>
      <c r="F165" s="164"/>
      <c r="G165" s="164"/>
      <c r="H165" s="164"/>
      <c r="I165" s="164"/>
      <c r="J165" s="164"/>
      <c r="K165" s="164"/>
      <c r="L165" s="164"/>
      <c r="M165" s="164"/>
      <c r="N165" s="164"/>
      <c r="O165" s="191"/>
      <c r="P165" s="191"/>
      <c r="Q165" s="191"/>
    </row>
    <row r="166" spans="2:17" s="103" customFormat="1" ht="10.9" customHeight="1" x14ac:dyDescent="0.2">
      <c r="B166" s="256"/>
      <c r="C166" s="257"/>
      <c r="D166" s="257"/>
      <c r="E166" s="164"/>
      <c r="F166" s="164"/>
      <c r="G166" s="164"/>
      <c r="H166" s="164"/>
      <c r="I166" s="164"/>
      <c r="J166" s="164"/>
      <c r="K166" s="164"/>
      <c r="L166" s="164"/>
      <c r="M166" s="164"/>
      <c r="N166" s="164"/>
      <c r="O166" s="191"/>
      <c r="P166" s="191"/>
      <c r="Q166" s="191"/>
    </row>
    <row r="167" spans="2:17" s="103" customFormat="1" ht="10.9" customHeight="1" x14ac:dyDescent="0.2">
      <c r="B167" s="256"/>
      <c r="C167" s="257"/>
      <c r="D167" s="257"/>
      <c r="E167" s="164"/>
      <c r="F167" s="164"/>
      <c r="G167" s="164"/>
      <c r="H167" s="164"/>
      <c r="I167" s="164"/>
      <c r="J167" s="164"/>
      <c r="K167" s="164"/>
      <c r="L167" s="164"/>
      <c r="M167" s="164"/>
      <c r="N167" s="164"/>
      <c r="O167" s="191"/>
      <c r="P167" s="191"/>
      <c r="Q167" s="191"/>
    </row>
    <row r="168" spans="2:17" s="103" customFormat="1" ht="10.9" customHeight="1" x14ac:dyDescent="0.2">
      <c r="B168" s="256"/>
      <c r="C168" s="257"/>
      <c r="D168" s="257"/>
      <c r="E168" s="164"/>
      <c r="F168" s="164"/>
      <c r="G168" s="164"/>
      <c r="H168" s="164"/>
      <c r="I168" s="164"/>
      <c r="J168" s="164"/>
      <c r="K168" s="164"/>
      <c r="L168" s="164"/>
      <c r="M168" s="164"/>
      <c r="N168" s="164"/>
      <c r="O168" s="191"/>
      <c r="P168" s="191"/>
      <c r="Q168" s="191"/>
    </row>
    <row r="169" spans="2:17" ht="10.35" customHeight="1" x14ac:dyDescent="0.25">
      <c r="B169" s="256"/>
      <c r="C169" s="257"/>
      <c r="D169" s="257"/>
      <c r="O169" s="177"/>
      <c r="P169" s="177"/>
      <c r="Q169" s="258"/>
    </row>
    <row r="170" spans="2:17" ht="10.35" customHeight="1" x14ac:dyDescent="0.2">
      <c r="B170" s="256"/>
      <c r="C170" s="257"/>
      <c r="D170" s="257"/>
    </row>
    <row r="171" spans="2:17" ht="10.35" customHeight="1" x14ac:dyDescent="0.2">
      <c r="B171" s="256"/>
      <c r="C171" s="257"/>
      <c r="D171" s="257"/>
    </row>
    <row r="172" spans="2:17" ht="10.35" customHeight="1" x14ac:dyDescent="0.2">
      <c r="B172" s="256"/>
      <c r="C172" s="257"/>
      <c r="D172" s="257"/>
    </row>
    <row r="173" spans="2:17" ht="10.35" customHeight="1" x14ac:dyDescent="0.2">
      <c r="B173" s="256"/>
      <c r="C173" s="257"/>
      <c r="D173" s="257"/>
    </row>
    <row r="174" spans="2:17" ht="10.35" customHeight="1" x14ac:dyDescent="0.2">
      <c r="B174" s="256"/>
      <c r="C174" s="257"/>
      <c r="D174" s="257"/>
    </row>
    <row r="175" spans="2:17" ht="10.35" customHeight="1" x14ac:dyDescent="0.2">
      <c r="B175" s="256"/>
      <c r="C175" s="257"/>
      <c r="D175" s="257"/>
    </row>
    <row r="176" spans="2:17" ht="10.35" customHeight="1" x14ac:dyDescent="0.2">
      <c r="B176" s="256"/>
      <c r="C176" s="257"/>
      <c r="D176" s="257"/>
    </row>
    <row r="177" spans="2:4" ht="10.35" customHeight="1" x14ac:dyDescent="0.2">
      <c r="B177" s="256"/>
      <c r="C177" s="257"/>
      <c r="D177" s="257"/>
    </row>
    <row r="178" spans="2:4" ht="10.35" customHeight="1" x14ac:dyDescent="0.2">
      <c r="B178" s="256"/>
      <c r="C178" s="257"/>
      <c r="D178" s="257"/>
    </row>
    <row r="179" spans="2:4" ht="10.35" customHeight="1" x14ac:dyDescent="0.2">
      <c r="B179" s="256"/>
      <c r="C179" s="257"/>
      <c r="D179" s="257"/>
    </row>
    <row r="180" spans="2:4" ht="10.35" customHeight="1" x14ac:dyDescent="0.2">
      <c r="B180" s="256"/>
      <c r="C180" s="257"/>
      <c r="D180" s="257"/>
    </row>
    <row r="181" spans="2:4" ht="10.35" customHeight="1" x14ac:dyDescent="0.2">
      <c r="B181" s="256"/>
      <c r="C181" s="257"/>
      <c r="D181" s="257"/>
    </row>
    <row r="182" spans="2:4" ht="10.35" customHeight="1" x14ac:dyDescent="0.2">
      <c r="B182" s="256"/>
      <c r="C182" s="257"/>
      <c r="D182" s="257"/>
    </row>
    <row r="183" spans="2:4" ht="10.35" customHeight="1" x14ac:dyDescent="0.2">
      <c r="B183" s="256"/>
      <c r="C183" s="257"/>
      <c r="D183" s="257"/>
    </row>
    <row r="184" spans="2:4" ht="10.35" customHeight="1" x14ac:dyDescent="0.2">
      <c r="B184" s="256"/>
      <c r="C184" s="257"/>
      <c r="D184" s="257"/>
    </row>
    <row r="185" spans="2:4" ht="10.35" customHeight="1" x14ac:dyDescent="0.2">
      <c r="B185" s="256"/>
      <c r="C185" s="257"/>
      <c r="D185" s="257"/>
    </row>
    <row r="186" spans="2:4" ht="10.35" customHeight="1" x14ac:dyDescent="0.2">
      <c r="B186" s="256"/>
      <c r="C186" s="257"/>
      <c r="D186" s="257"/>
    </row>
    <row r="187" spans="2:4" ht="10.35" customHeight="1" x14ac:dyDescent="0.2">
      <c r="B187" s="256"/>
      <c r="C187" s="257"/>
      <c r="D187" s="257"/>
    </row>
    <row r="188" spans="2:4" ht="10.35" customHeight="1" x14ac:dyDescent="0.2">
      <c r="B188" s="256"/>
      <c r="C188" s="257"/>
      <c r="D188" s="257"/>
    </row>
    <row r="189" spans="2:4" ht="10.35" customHeight="1" x14ac:dyDescent="0.2">
      <c r="B189" s="256"/>
      <c r="C189" s="257"/>
      <c r="D189" s="257"/>
    </row>
    <row r="190" spans="2:4" ht="10.35" customHeight="1" x14ac:dyDescent="0.2">
      <c r="B190" s="256"/>
      <c r="C190" s="257"/>
      <c r="D190" s="257"/>
    </row>
    <row r="191" spans="2:4" ht="10.35" customHeight="1" x14ac:dyDescent="0.2">
      <c r="B191" s="256"/>
      <c r="C191" s="257"/>
      <c r="D191" s="257"/>
    </row>
    <row r="192" spans="2:4" ht="10.35" customHeight="1" x14ac:dyDescent="0.2">
      <c r="B192" s="256"/>
      <c r="C192" s="257"/>
      <c r="D192" s="257"/>
    </row>
    <row r="193" spans="2:4" ht="10.35" customHeight="1" x14ac:dyDescent="0.2">
      <c r="B193" s="256"/>
      <c r="C193" s="257"/>
      <c r="D193" s="257"/>
    </row>
    <row r="194" spans="2:4" ht="10.35" customHeight="1" x14ac:dyDescent="0.2">
      <c r="B194" s="256"/>
      <c r="C194" s="257"/>
      <c r="D194" s="257"/>
    </row>
    <row r="195" spans="2:4" ht="10.35" customHeight="1" x14ac:dyDescent="0.2">
      <c r="B195" s="256"/>
      <c r="C195" s="257"/>
      <c r="D195" s="257"/>
    </row>
    <row r="196" spans="2:4" ht="10.35" customHeight="1" x14ac:dyDescent="0.2">
      <c r="B196" s="256"/>
      <c r="C196" s="257"/>
      <c r="D196" s="257"/>
    </row>
    <row r="197" spans="2:4" ht="10.35" customHeight="1" x14ac:dyDescent="0.2">
      <c r="B197" s="256"/>
      <c r="C197" s="257"/>
      <c r="D197" s="257"/>
    </row>
    <row r="198" spans="2:4" ht="10.35" customHeight="1" x14ac:dyDescent="0.2">
      <c r="B198" s="256"/>
      <c r="C198" s="257"/>
      <c r="D198" s="257"/>
    </row>
    <row r="199" spans="2:4" ht="10.35" customHeight="1" x14ac:dyDescent="0.2">
      <c r="B199" s="256"/>
      <c r="C199" s="257"/>
      <c r="D199" s="257"/>
    </row>
    <row r="200" spans="2:4" ht="10.35" customHeight="1" x14ac:dyDescent="0.2">
      <c r="B200" s="256"/>
      <c r="C200" s="257"/>
      <c r="D200" s="257"/>
    </row>
    <row r="201" spans="2:4" ht="10.35" customHeight="1" x14ac:dyDescent="0.2">
      <c r="B201" s="256"/>
      <c r="C201" s="257"/>
      <c r="D201" s="257"/>
    </row>
    <row r="202" spans="2:4" ht="10.35" customHeight="1" x14ac:dyDescent="0.2">
      <c r="B202" s="256"/>
      <c r="C202" s="257"/>
      <c r="D202" s="257"/>
    </row>
    <row r="203" spans="2:4" ht="10.35" customHeight="1" x14ac:dyDescent="0.2">
      <c r="B203" s="256"/>
      <c r="C203" s="257"/>
      <c r="D203" s="257"/>
    </row>
    <row r="204" spans="2:4" ht="10.35" customHeight="1" x14ac:dyDescent="0.2">
      <c r="B204" s="256"/>
      <c r="C204" s="257"/>
      <c r="D204" s="257"/>
    </row>
    <row r="205" spans="2:4" ht="10.35" customHeight="1" x14ac:dyDescent="0.2">
      <c r="B205" s="256"/>
      <c r="C205" s="257"/>
      <c r="D205" s="257"/>
    </row>
    <row r="206" spans="2:4" ht="10.35" customHeight="1" x14ac:dyDescent="0.2">
      <c r="B206" s="256"/>
      <c r="C206" s="257"/>
      <c r="D206" s="257"/>
    </row>
    <row r="207" spans="2:4" ht="10.35" customHeight="1" x14ac:dyDescent="0.2">
      <c r="B207" s="256"/>
      <c r="C207" s="257"/>
      <c r="D207" s="257"/>
    </row>
    <row r="208" spans="2:4" x14ac:dyDescent="0.2">
      <c r="B208" s="256"/>
      <c r="C208" s="257"/>
      <c r="D208" s="257"/>
    </row>
    <row r="209" spans="2:4" x14ac:dyDescent="0.2">
      <c r="B209" s="256"/>
      <c r="C209" s="257"/>
      <c r="D209" s="257"/>
    </row>
    <row r="210" spans="2:4" x14ac:dyDescent="0.2">
      <c r="B210" s="256"/>
      <c r="C210" s="257"/>
      <c r="D210" s="257"/>
    </row>
    <row r="211" spans="2:4" x14ac:dyDescent="0.2">
      <c r="B211" s="256"/>
      <c r="C211" s="257"/>
      <c r="D211" s="257"/>
    </row>
    <row r="212" spans="2:4" x14ac:dyDescent="0.2">
      <c r="B212" s="256"/>
      <c r="C212" s="257"/>
      <c r="D212" s="257"/>
    </row>
    <row r="213" spans="2:4" x14ac:dyDescent="0.2">
      <c r="B213" s="256"/>
      <c r="C213" s="257"/>
      <c r="D213" s="257"/>
    </row>
    <row r="214" spans="2:4" x14ac:dyDescent="0.2">
      <c r="B214" s="256"/>
      <c r="C214" s="257"/>
      <c r="D214" s="257"/>
    </row>
    <row r="215" spans="2:4" x14ac:dyDescent="0.2">
      <c r="B215" s="256"/>
      <c r="C215" s="257"/>
      <c r="D215" s="257"/>
    </row>
    <row r="216" spans="2:4" x14ac:dyDescent="0.2">
      <c r="B216" s="256"/>
      <c r="C216" s="257"/>
      <c r="D216" s="257"/>
    </row>
    <row r="217" spans="2:4" x14ac:dyDescent="0.2">
      <c r="B217" s="256"/>
      <c r="C217" s="257"/>
      <c r="D217" s="257"/>
    </row>
    <row r="218" spans="2:4" x14ac:dyDescent="0.2">
      <c r="B218" s="256"/>
      <c r="C218" s="257"/>
      <c r="D218" s="257"/>
    </row>
    <row r="219" spans="2:4" x14ac:dyDescent="0.2">
      <c r="B219" s="256"/>
      <c r="C219" s="257"/>
      <c r="D219" s="257"/>
    </row>
    <row r="220" spans="2:4" x14ac:dyDescent="0.2">
      <c r="B220" s="256"/>
      <c r="C220" s="257"/>
      <c r="D220" s="257"/>
    </row>
    <row r="221" spans="2:4" x14ac:dyDescent="0.2">
      <c r="B221" s="256"/>
      <c r="C221" s="257"/>
      <c r="D221" s="257"/>
    </row>
    <row r="222" spans="2:4" x14ac:dyDescent="0.2">
      <c r="B222" s="256"/>
      <c r="C222" s="257"/>
      <c r="D222" s="257"/>
    </row>
    <row r="223" spans="2:4" x14ac:dyDescent="0.2">
      <c r="B223" s="256"/>
      <c r="C223" s="257"/>
      <c r="D223" s="257"/>
    </row>
    <row r="224" spans="2:4" x14ac:dyDescent="0.2">
      <c r="B224" s="256"/>
      <c r="C224" s="257"/>
      <c r="D224" s="257"/>
    </row>
    <row r="225" spans="2:4" x14ac:dyDescent="0.2">
      <c r="B225" s="256"/>
      <c r="C225" s="257"/>
      <c r="D225" s="257"/>
    </row>
    <row r="226" spans="2:4" x14ac:dyDescent="0.2">
      <c r="B226" s="256"/>
      <c r="C226" s="257"/>
      <c r="D226" s="257"/>
    </row>
    <row r="227" spans="2:4" x14ac:dyDescent="0.2">
      <c r="B227" s="256"/>
      <c r="C227" s="257"/>
      <c r="D227" s="257"/>
    </row>
    <row r="228" spans="2:4" x14ac:dyDescent="0.2">
      <c r="B228" s="256"/>
      <c r="C228" s="257"/>
      <c r="D228" s="257"/>
    </row>
    <row r="229" spans="2:4" x14ac:dyDescent="0.2">
      <c r="B229" s="256"/>
      <c r="C229" s="257"/>
      <c r="D229" s="257"/>
    </row>
    <row r="230" spans="2:4" x14ac:dyDescent="0.2">
      <c r="B230" s="256"/>
      <c r="C230" s="257"/>
      <c r="D230" s="257"/>
    </row>
    <row r="231" spans="2:4" x14ac:dyDescent="0.2">
      <c r="B231" s="256"/>
      <c r="C231" s="257"/>
      <c r="D231" s="257"/>
    </row>
    <row r="232" spans="2:4" x14ac:dyDescent="0.2">
      <c r="B232" s="256"/>
      <c r="C232" s="257"/>
      <c r="D232" s="257"/>
    </row>
    <row r="233" spans="2:4" x14ac:dyDescent="0.2">
      <c r="B233" s="256"/>
      <c r="C233" s="257"/>
      <c r="D233" s="257"/>
    </row>
    <row r="234" spans="2:4" x14ac:dyDescent="0.2">
      <c r="B234" s="256"/>
      <c r="C234" s="257"/>
      <c r="D234" s="257"/>
    </row>
    <row r="235" spans="2:4" x14ac:dyDescent="0.2">
      <c r="B235" s="256"/>
      <c r="C235" s="257"/>
      <c r="D235" s="257"/>
    </row>
    <row r="236" spans="2:4" x14ac:dyDescent="0.2">
      <c r="B236" s="256"/>
      <c r="C236" s="257"/>
      <c r="D236" s="257"/>
    </row>
    <row r="237" spans="2:4" x14ac:dyDescent="0.2">
      <c r="B237" s="256"/>
      <c r="C237" s="257"/>
      <c r="D237" s="257"/>
    </row>
    <row r="238" spans="2:4" x14ac:dyDescent="0.2">
      <c r="B238" s="256"/>
      <c r="C238" s="257"/>
      <c r="D238" s="257"/>
    </row>
    <row r="239" spans="2:4" x14ac:dyDescent="0.2">
      <c r="B239" s="256"/>
      <c r="C239" s="257"/>
      <c r="D239" s="257"/>
    </row>
    <row r="240" spans="2:4" x14ac:dyDescent="0.2">
      <c r="B240" s="256"/>
      <c r="C240" s="257"/>
      <c r="D240" s="257"/>
    </row>
    <row r="241" spans="2:4" x14ac:dyDescent="0.2">
      <c r="B241" s="256"/>
      <c r="C241" s="257"/>
      <c r="D241" s="257"/>
    </row>
    <row r="242" spans="2:4" x14ac:dyDescent="0.2">
      <c r="B242" s="256"/>
      <c r="C242" s="257"/>
      <c r="D242" s="257"/>
    </row>
    <row r="243" spans="2:4" x14ac:dyDescent="0.2">
      <c r="B243" s="256"/>
      <c r="C243" s="257"/>
      <c r="D243" s="257"/>
    </row>
    <row r="244" spans="2:4" x14ac:dyDescent="0.2">
      <c r="B244" s="256"/>
      <c r="C244" s="257"/>
      <c r="D244" s="257"/>
    </row>
    <row r="245" spans="2:4" x14ac:dyDescent="0.2">
      <c r="B245" s="256"/>
      <c r="C245" s="257"/>
      <c r="D245" s="257"/>
    </row>
    <row r="246" spans="2:4" x14ac:dyDescent="0.2">
      <c r="B246" s="256"/>
      <c r="C246" s="257"/>
      <c r="D246" s="257"/>
    </row>
    <row r="247" spans="2:4" x14ac:dyDescent="0.2">
      <c r="B247" s="256"/>
      <c r="C247" s="257"/>
      <c r="D247" s="257"/>
    </row>
    <row r="248" spans="2:4" x14ac:dyDescent="0.2">
      <c r="B248" s="256"/>
      <c r="C248" s="257"/>
      <c r="D248" s="257"/>
    </row>
    <row r="249" spans="2:4" x14ac:dyDescent="0.2">
      <c r="B249" s="256"/>
      <c r="C249" s="257"/>
      <c r="D249" s="257"/>
    </row>
    <row r="250" spans="2:4" x14ac:dyDescent="0.2">
      <c r="B250" s="256"/>
      <c r="C250" s="257"/>
      <c r="D250" s="257"/>
    </row>
    <row r="251" spans="2:4" x14ac:dyDescent="0.2">
      <c r="B251" s="256"/>
      <c r="C251" s="257"/>
      <c r="D251" s="257"/>
    </row>
  </sheetData>
  <sheetProtection password="EECE" sheet="1" objects="1" scenarios="1" formatCells="0" formatColumns="0" formatRows="0"/>
  <customSheetViews>
    <customSheetView guid="{C3088B2E-F853-4D7E-B687-C6500891DFCB}" scale="110" showPageBreaks="1" fitToPage="1" printArea="1">
      <pane xSplit="3" ySplit="6" topLeftCell="K60" activePane="bottomRight" state="frozen"/>
      <selection pane="bottomRight"/>
      <rowBreaks count="1" manualBreakCount="1">
        <brk id="47" max="12" man="1"/>
      </rowBreaks>
      <pageMargins left="0.47244094488188998" right="0.47244094488188998" top="0.59055118110236204" bottom="0.59055118110236204" header="0.39370078740157499" footer="0.39370078740157499"/>
      <pageSetup scale="81" fitToHeight="0" orientation="landscape" r:id="rId1"/>
      <headerFooter alignWithMargins="0">
        <oddFooter>&amp;L&amp;8&amp;D  &amp;T&amp;R&amp;8March 2014, Version 0.2</oddFooter>
      </headerFooter>
    </customSheetView>
    <customSheetView guid="{F866C9B2-56BF-4FE4-B270-CC8FE15A5892}" scale="110" showPageBreaks="1" fitToPage="1" printArea="1">
      <pane xSplit="2" ySplit="6" topLeftCell="D31" activePane="bottomRight" state="frozen"/>
      <selection pane="bottomRight"/>
      <rowBreaks count="1" manualBreakCount="1">
        <brk id="47" max="12" man="1"/>
      </rowBreaks>
      <pageMargins left="0.47244094488188998" right="0.47244094488188998" top="0.59055118110236204" bottom="0.59055118110236204" header="0.39370078740157499" footer="0.39370078740157499"/>
      <pageSetup scale="80" fitToHeight="0" orientation="landscape" r:id="rId2"/>
      <headerFooter alignWithMargins="0">
        <oddFooter>&amp;L&amp;8&amp;D  &amp;T&amp;R&amp;8March 2014, Version 0.2</oddFooter>
      </headerFooter>
    </customSheetView>
    <customSheetView guid="{D66484CB-9D53-43A1-A83D-11534BC40BF6}" scale="110" showPageBreaks="1" fitToPage="1" printArea="1">
      <pane xSplit="3" ySplit="6" topLeftCell="D7" activePane="bottomRight" state="frozen"/>
      <selection pane="bottomRight" activeCell="B30" sqref="B30"/>
      <rowBreaks count="1" manualBreakCount="1">
        <brk id="47" max="12" man="1"/>
      </rowBreaks>
      <pageMargins left="0.47244094488188998" right="0.47244094488188998" top="0.59055118110236204" bottom="0.59055118110236204" header="0.39370078740157499" footer="0.39370078740157499"/>
      <pageSetup scale="80" fitToHeight="0" orientation="landscape" r:id="rId3"/>
      <headerFooter alignWithMargins="0">
        <oddFooter>&amp;L&amp;8&amp;D  &amp;T&amp;R&amp;8March 2014, Version 0.2</oddFooter>
      </headerFooter>
    </customSheetView>
  </customSheetViews>
  <mergeCells count="12">
    <mergeCell ref="G1:M1"/>
    <mergeCell ref="F2:N2"/>
    <mergeCell ref="P4:Q4"/>
    <mergeCell ref="K4:K5"/>
    <mergeCell ref="L4:L5"/>
    <mergeCell ref="M4:M5"/>
    <mergeCell ref="J4:J5"/>
    <mergeCell ref="B4:C5"/>
    <mergeCell ref="G3:H3"/>
    <mergeCell ref="E4:H4"/>
    <mergeCell ref="I4:I5"/>
    <mergeCell ref="N3:N5"/>
  </mergeCells>
  <conditionalFormatting sqref="E145:N146 E149:N153 E147:F148 H147:K148 M147:N148 E162:N162 E154:F161 H154:K161 M154:N161">
    <cfRule type="containsText" dxfId="217" priority="26" operator="containsText" text="NV">
      <formula>NOT(ISERROR(SEARCH("NV",E145)))</formula>
    </cfRule>
    <cfRule type="containsText" dxfId="216" priority="30" operator="containsText" text="Vérifier">
      <formula>NOT(ISERROR(SEARCH("Vérifier",E145)))</formula>
    </cfRule>
  </conditionalFormatting>
  <conditionalFormatting sqref="P8:Q79">
    <cfRule type="containsText" dxfId="215" priority="25" operator="containsText" text="NA">
      <formula>NOT(ISERROR(SEARCH("NA",P8)))</formula>
    </cfRule>
  </conditionalFormatting>
  <conditionalFormatting sqref="P81:Q99">
    <cfRule type="containsText" dxfId="214" priority="24" operator="containsText" text="NA">
      <formula>NOT(ISERROR(SEARCH("NA",P81)))</formula>
    </cfRule>
  </conditionalFormatting>
  <conditionalFormatting sqref="G149:G153 L149:L153">
    <cfRule type="containsText" dxfId="213" priority="23" operator="containsText" text="Oui">
      <formula>NOT(ISERROR(SEARCH("Oui",G149)))</formula>
    </cfRule>
  </conditionalFormatting>
  <conditionalFormatting sqref="P8:Q79 P81:Q99">
    <cfRule type="cellIs" dxfId="212" priority="21" operator="between">
      <formula>-0.1</formula>
      <formula>0.1</formula>
    </cfRule>
    <cfRule type="containsText" dxfId="211" priority="22" operator="containsText" text="NA">
      <formula>NOT(ISERROR(SEARCH("NA",P8)))</formula>
    </cfRule>
  </conditionalFormatting>
  <conditionalFormatting sqref="E103:N141 E143:N144">
    <cfRule type="containsText" dxfId="210" priority="16" operator="containsText" text="NA">
      <formula>NOT(ISERROR(SEARCH("NA",E103)))</formula>
    </cfRule>
    <cfRule type="cellIs" dxfId="209" priority="17" operator="lessThan">
      <formula>-0.1</formula>
    </cfRule>
    <cfRule type="cellIs" dxfId="208" priority="18" operator="greaterThan">
      <formula>0.1</formula>
    </cfRule>
    <cfRule type="cellIs" dxfId="207" priority="19" operator="between">
      <formula>-0.1</formula>
      <formula>0.1</formula>
    </cfRule>
    <cfRule type="containsText" dxfId="206" priority="20" operator="containsText" text="NA">
      <formula>NOT(ISERROR(SEARCH("NA",E103)))</formula>
    </cfRule>
  </conditionalFormatting>
  <conditionalFormatting sqref="G150:G152 L150:L153">
    <cfRule type="containsText" dxfId="205" priority="15" operator="containsText" text="NA">
      <formula>NOT(ISERROR(SEARCH("NA",G150)))</formula>
    </cfRule>
  </conditionalFormatting>
  <conditionalFormatting sqref="G147:G148">
    <cfRule type="containsText" dxfId="204" priority="13" operator="containsText" text="NV">
      <formula>NOT(ISERROR(SEARCH("NV",G147)))</formula>
    </cfRule>
    <cfRule type="containsText" dxfId="203" priority="14" operator="containsText" text="check">
      <formula>NOT(ISERROR(SEARCH("check",G147)))</formula>
    </cfRule>
  </conditionalFormatting>
  <conditionalFormatting sqref="L147:L148">
    <cfRule type="containsText" dxfId="202" priority="11" operator="containsText" text="NV">
      <formula>NOT(ISERROR(SEARCH("NV",L147)))</formula>
    </cfRule>
    <cfRule type="containsText" dxfId="201" priority="12" operator="containsText" text="check">
      <formula>NOT(ISERROR(SEARCH("check",L147)))</formula>
    </cfRule>
  </conditionalFormatting>
  <conditionalFormatting sqref="G154:G161">
    <cfRule type="containsText" dxfId="200" priority="9" operator="containsText" text="NV">
      <formula>NOT(ISERROR(SEARCH("NV",G154)))</formula>
    </cfRule>
    <cfRule type="containsText" dxfId="199" priority="10" operator="containsText" text="check">
      <formula>NOT(ISERROR(SEARCH("check",G154)))</formula>
    </cfRule>
  </conditionalFormatting>
  <conditionalFormatting sqref="L154:L161">
    <cfRule type="containsText" dxfId="198" priority="7" operator="containsText" text="NV">
      <formula>NOT(ISERROR(SEARCH("NV",L154)))</formula>
    </cfRule>
    <cfRule type="containsText" dxfId="197" priority="8" operator="containsText" text="check">
      <formula>NOT(ISERROR(SEARCH("check",L154)))</formula>
    </cfRule>
  </conditionalFormatting>
  <conditionalFormatting sqref="G147:L148 G154:L161">
    <cfRule type="containsText" dxfId="196" priority="5" operator="containsText" text="verificar">
      <formula>NOT(ISERROR(SEARCH("verificar",G147)))</formula>
    </cfRule>
    <cfRule type="containsText" dxfId="195" priority="6" operator="containsText" text="si">
      <formula>NOT(ISERROR(SEARCH("si",G147)))</formula>
    </cfRule>
  </conditionalFormatting>
  <conditionalFormatting sqref="G147:L161">
    <cfRule type="containsText" dxfId="194" priority="1" operator="containsText" text="v">
      <formula>NOT(ISERROR(SEARCH("v",G147)))</formula>
    </cfRule>
    <cfRule type="containsText" dxfId="193" priority="4" operator="containsText" text="v">
      <formula>NOT(ISERROR(SEARCH("v",G147)))</formula>
    </cfRule>
  </conditionalFormatting>
  <conditionalFormatting sqref="G147:G161 L147:L161">
    <cfRule type="containsText" dxfId="192" priority="2" operator="containsText" text="v">
      <formula>NOT(ISERROR(SEARCH("v",G147)))</formula>
    </cfRule>
    <cfRule type="containsText" dxfId="191" priority="3" operator="containsText" text="si">
      <formula>NOT(ISERROR(SEARCH("si",G147)))</formula>
    </cfRule>
  </conditionalFormatting>
  <pageMargins left="0.47244094488188998" right="0.47244094488188998" top="0.59055118110236204" bottom="0.59055118110236204" header="0.39370078740157499" footer="0.39370078740157499"/>
  <pageSetup scale="80" fitToHeight="0" orientation="landscape" r:id="rId4"/>
  <headerFooter alignWithMargins="0">
    <oddFooter>&amp;L&amp;8&amp;D  &amp;T&amp;R&amp;8March 2014, Version 0.2</oddFooter>
  </headerFooter>
  <rowBreaks count="1" manualBreakCount="1">
    <brk id="48" min="1" max="13" man="1"/>
  </rowBreaks>
  <ignoredErrors>
    <ignoredError sqref="H150:K150" formulaRange="1"/>
  </ignoredErrors>
  <legacyDrawing r:id="rId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2CD4CE788C0924AAB9A9AF8274C3BA0" ma:contentTypeVersion="4" ma:contentTypeDescription="Create a new document." ma:contentTypeScope="" ma:versionID="273ab99c845a0ab368c691b7cbc8d5c9">
  <xsd:schema xmlns:xsd="http://www.w3.org/2001/XMLSchema" xmlns:xs="http://www.w3.org/2001/XMLSchema" xmlns:p="http://schemas.microsoft.com/office/2006/metadata/properties" xmlns:ns1="eeb0e057-f6f3-4ccc-94ab-253765c34222" xmlns:ns2="d6aed6fa-2026-4520-beb0-211d75a325c0" targetNamespace="http://schemas.microsoft.com/office/2006/metadata/properties" ma:root="true" ma:fieldsID="cc735bd373cf9519d82bcfd02363e949" ns1:_="">
    <xsd:import namespace="eeb0e057-f6f3-4ccc-94ab-253765c34222"/>
    <xsd:import namespace="d6aed6fa-2026-4520-beb0-211d75a325c0"/>
    <xsd:element name="properties">
      <xsd:complexType>
        <xsd:sequence>
          <xsd:element name="documentManagement">
            <xsd:complexType>
              <xsd:all>
                <xsd:element ref="ns2:MMSAuthor" minOccurs="0"/>
                <xsd:element ref="ns2:MMSCountriesTaxHTField0" minOccurs="0"/>
                <xsd:element ref="ns2:MMSTopicsTaxHTField0" minOccurs="0"/>
                <xsd:element ref="ns2:MMSClassificationTaxHTField0" minOccurs="0"/>
                <xsd:element ref="ns2:MMSDepartmentsTaxHTField1" minOccurs="0"/>
                <xsd:element ref="ns2:MMSDocumentTypesTaxHTField0"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eb0e057-f6f3-4ccc-94ab-253765c34222" elementFormDefault="qualified">
    <xsd:import namespace="http://schemas.microsoft.com/office/2006/documentManagement/types"/>
    <xsd:import namespace="http://schemas.microsoft.com/office/infopath/2007/PartnerControls"/>
  </xsd:schema>
  <xsd:schema xmlns:xsd="http://www.w3.org/2001/XMLSchema" xmlns:xs="http://www.w3.org/2001/XMLSchema" xmlns:dms="http://schemas.microsoft.com/office/2006/documentManagement/types" xmlns:pc="http://schemas.microsoft.com/office/infopath/2007/PartnerControls" targetNamespace="d6aed6fa-2026-4520-beb0-211d75a325c0" elementFormDefault="qualified">
    <xsd:import namespace="http://schemas.microsoft.com/office/2006/documentManagement/types"/>
    <xsd:import namespace="http://schemas.microsoft.com/office/infopath/2007/PartnerControls"/>
    <xsd:element name="MMSAuthor" ma:index="0" nillable="true" ma:displayName="MMSAuthor" ma:default="" ma:internalName="MMSAuthor">
      <xsd:simpleType>
        <xsd:restriction base="dms:Text"/>
      </xsd:simpleType>
    </xsd:element>
    <xsd:element name="MMSCountriesTaxHTField0" ma:index="1" nillable="true" ma:displayName="MMSCountriesTaxHTField0" ma:default="&lt;Terms xmlns=&quot;http://schemas.microsoft.com/office/infopath/2007/PartnerControls&quot;&gt;&lt;/Terms&gt;" ma:internalName="MMSCountriesTaxHTField0">
      <xsd:complexType>
        <xsd:sequence xmlns:xsd="http://www.w3.org/2001/XMLSchema">
          <xsd:element ref="pc:Terms" minOccurs="0" maxOccurs="1"/>
        </xsd:sequence>
      </xsd:complexType>
    </xsd:element>
    <xsd:element name="MMSTopicsTaxHTField0" ma:index="2" nillable="true" ma:displayName="MMSTopicsTaxHTField0" ma:default="&lt;Terms xmlns=&quot;http://schemas.microsoft.com/office/infopath/2007/PartnerControls&quot;&gt;&lt;/Terms&gt;" ma:internalName="MMSTopicsTaxHTField0">
      <xsd:complexType>
        <xsd:sequence xmlns:xsd="http://www.w3.org/2001/XMLSchema">
          <xsd:element ref="pc:Terms" minOccurs="0" maxOccurs="1"/>
        </xsd:sequence>
      </xsd:complexType>
    </xsd:element>
    <xsd:element name="MMSClassificationTaxHTField0" ma:index="3" nillable="true" ma:displayName="MMSClassificationTaxHTField0" ma:default="&lt;Terms xmlns=&quot;http://schemas.microsoft.com/office/infopath/2007/PartnerControls&quot;&gt;&lt;TermInfo xmlns=&quot;http://schemas.microsoft.com/office/infopath/2007/PartnerControls&quot;&gt;&lt;TermName xmlns=&quot;http://schemas.microsoft.com/office/infopath/2007/PartnerControls&quot;&gt;For Official Use Only&lt;/TermName&gt;&lt;TermId xmlns=&quot;http://schemas.microsoft.com/office/infopath/2007/PartnerControls&quot;&gt;ceebc80d-5bab-57db-aa4c-a446741f09ad&lt;/TermId&gt;&lt;/TermInfo&gt;&lt;/Terms&gt;" ma:internalName="MMSClassificationTaxHTField0">
      <xsd:complexType>
        <xsd:sequence xmlns:xsd="http://www.w3.org/2001/XMLSchema">
          <xsd:element ref="pc:Terms" minOccurs="0" maxOccurs="1"/>
        </xsd:sequence>
      </xsd:complexType>
    </xsd:element>
    <xsd:element name="MMSDepartmentsTaxHTField1" ma:index="4" nillable="true" ma:displayName="MMSDepartmentsTaxHTField1" ma:default="&lt;Terms xmlns=&quot;http://schemas.microsoft.com/office/infopath/2007/PartnerControls&quot;&gt;&lt;TermInfo xmlns=&quot;http://schemas.microsoft.com/office/infopath/2007/PartnerControls&quot;&gt;&lt;TermName xmlns=&quot;http://schemas.microsoft.com/office/infopath/2007/PartnerControls&quot;&gt;STA&lt;/TermName&gt;&lt;TermId xmlns=&quot;http://schemas.microsoft.com/office/infopath/2007/PartnerControls&quot;&gt;7b3d1844-d7af-4b54-b0a3-e8b52b3791bc&lt;/TermId&gt;&lt;/TermInfo&gt;&lt;/Terms&gt;" ma:internalName="MMSDepartmentsTaxHTField1">
      <xsd:complexType>
        <xsd:sequence xmlns:xsd="http://www.w3.org/2001/XMLSchema">
          <xsd:element ref="pc:Terms" minOccurs="0" maxOccurs="1"/>
        </xsd:sequence>
      </xsd:complexType>
    </xsd:element>
    <xsd:element name="MMSDocumentTypesTaxHTField0" ma:index="5" nillable="true" ma:displayName="MMSDocumentTypesTaxHTField0" ma:default="&lt;Terms xmlns=&quot;http://schemas.microsoft.com/office/infopath/2007/PartnerControls&quot;&gt;&lt;/Terms&gt;" ma:internalName="MMSDocumentTypesTaxHTField0">
      <xsd:complexType>
        <xsd:sequence xmlns:xsd="http://www.w3.org/2001/XMLSchema">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This value indicates the number of saves or revisions. The application is responsible for updating this value after each revision.</xsd:documentation>
          </xsd:annotation>
        </xsd:element>
        <xsd:element name="lastModifiedBy" minOccurs="0" maxOccurs="1" type="xsd:string"/>
        <xsd:element ref="dcterms:modified" minOccurs="0" maxOccurs="1"/>
        <xsd:element name="contentStatus" minOccurs="0" maxOccurs="1" type="xsd:string"/>
      </xsd:all>
    </xsd:complexType>
  </xsd:schema>
</ct:contentTypeSchema>
</file>

<file path=customXml/item2.xml><?xml version="1.0" encoding="utf-8"?>
<p:properties xmlns:p="http://schemas.microsoft.com/office/2006/metadata/properties" xmlns:xsi="http://www.w3.org/2001/XMLSchema-instance">
  <documentManagement>
    <MMSAuthor xmlns="d6aed6fa-2026-4520-beb0-211d75a325c0"/>
    <MMSCountriesTaxHTField0 xmlns="d6aed6fa-2026-4520-beb0-211d75a325c0">
      <Terms xmlns="http://schemas.microsoft.com/office/infopath/2007/PartnerControls"/>
    </MMSCountriesTaxHTField0>
    <MMSTopicsTaxHTField0 xmlns="d6aed6fa-2026-4520-beb0-211d75a325c0">
      <Terms xmlns="http://schemas.microsoft.com/office/infopath/2007/PartnerControls"/>
    </MMSTopicsTaxHTField0>
    <MMSClassificationTaxHTField0 xmlns="d6aed6fa-2026-4520-beb0-211d75a325c0">
      <Terms xmlns="http://schemas.microsoft.com/office/infopath/2007/PartnerControls">
        <TermInfo xmlns="http://schemas.microsoft.com/office/infopath/2007/PartnerControls">
          <TermName xmlns="http://schemas.microsoft.com/office/infopath/2007/PartnerControls">For Official Use Only</TermName>
          <TermId xmlns="http://schemas.microsoft.com/office/infopath/2007/PartnerControls">ceebc80d-5bab-57db-aa4c-a446741f09ad</TermId>
        </TermInfo>
      </Terms>
    </MMSClassificationTaxHTField0>
    <MMSDepartmentsTaxHTField1 xmlns="d6aed6fa-2026-4520-beb0-211d75a325c0">
      <Terms xmlns="http://schemas.microsoft.com/office/infopath/2007/PartnerControls">
        <TermInfo xmlns="http://schemas.microsoft.com/office/infopath/2007/PartnerControls">
          <TermName xmlns="http://schemas.microsoft.com/office/infopath/2007/PartnerControls">STA</TermName>
          <TermId xmlns="http://schemas.microsoft.com/office/infopath/2007/PartnerControls">7b3d1844-d7af-4b54-b0a3-e8b52b3791bc</TermId>
        </TermInfo>
      </Terms>
    </MMSDepartmentsTaxHTField1>
    <MMSDocumentTypesTaxHTField0 xmlns="d6aed6fa-2026-4520-beb0-211d75a325c0">
      <Terms xmlns="http://schemas.microsoft.com/office/infopath/2007/PartnerControls"/>
    </MMSDocumentTypesTaxHTField0>
  </documentManagement>
</p:properties>
</file>

<file path=customXml/item3.xml><?xml version="1.0" encoding="utf-8"?>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FA01330-14A1-4347-A117-D4993E0979C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0ee3e2c-6582-4549-9afa-575e8dac0aa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 ds:uri="eeb0e057-f6f3-4ccc-94ab-253765c34222"/>
    <ds:schemaRef ds:uri="d6aed6fa-2026-4520-beb0-211d75a325c0"/>
  </ds:schemaRefs>
</ds:datastoreItem>
</file>

<file path=customXml/itemProps2.xml><?xml version="1.0" encoding="utf-8"?>
<ds:datastoreItem xmlns:ds="http://schemas.openxmlformats.org/officeDocument/2006/customXml" ds:itemID="{BBB4F38B-0799-4886-B61C-8DBB46B47F73}">
  <ds:schemaRefs>
    <ds:schemaRef ds:uri="http://schemas.microsoft.com/office/2006/metadata/properties"/>
    <ds:schemaRef ds:uri="http://purl.org/dc/elements/1.1/"/>
    <ds:schemaRef ds:uri="http://purl.org/dc/dcmitype/"/>
    <ds:schemaRef ds:uri="http://schemas.microsoft.com/office/2006/documentManagement/types"/>
    <ds:schemaRef ds:uri="http://purl.org/dc/terms/"/>
    <ds:schemaRef ds:uri="http://schemas.microsoft.com/office/infopath/2007/PartnerControls"/>
    <ds:schemaRef ds:uri="http://www.w3.org/XML/1998/namespace"/>
    <ds:schemaRef ds:uri="http://schemas.openxmlformats.org/package/2006/metadata/core-properties"/>
    <ds:schemaRef ds:uri="f0ee3e2c-6582-4549-9afa-575e8dac0aa5"/>
    <ds:schemaRef ds:uri="d6aed6fa-2026-4520-beb0-211d75a325c0"/>
  </ds:schemaRefs>
</ds:datastoreItem>
</file>

<file path=customXml/itemProps3.xml><?xml version="1.0" encoding="utf-8"?>
<ds:datastoreItem xmlns:ds="http://schemas.openxmlformats.org/officeDocument/2006/customXml" ds:itemID="{3847F8EF-8AAF-48C9-9DFE-A66AC49D528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Hojas de cálculo</vt:lpstr>
      </vt:variant>
      <vt:variant>
        <vt:i4>24</vt:i4>
      </vt:variant>
      <vt:variant>
        <vt:lpstr>Rangos con nombre</vt:lpstr>
      </vt:variant>
      <vt:variant>
        <vt:i4>68</vt:i4>
      </vt:variant>
    </vt:vector>
  </HeadingPairs>
  <TitlesOfParts>
    <vt:vector size="92" baseType="lpstr">
      <vt:lpstr>Leame</vt:lpstr>
      <vt:lpstr>Coverpage</vt:lpstr>
      <vt:lpstr>StatementI</vt:lpstr>
      <vt:lpstr>StatementII</vt:lpstr>
      <vt:lpstr>StatementIII</vt:lpstr>
      <vt:lpstr>StatementIV</vt:lpstr>
      <vt:lpstr>Table1</vt:lpstr>
      <vt:lpstr>Table2</vt:lpstr>
      <vt:lpstr>Table3</vt:lpstr>
      <vt:lpstr>Table4</vt:lpstr>
      <vt:lpstr>Table5</vt:lpstr>
      <vt:lpstr>Table6</vt:lpstr>
      <vt:lpstr>Table6A</vt:lpstr>
      <vt:lpstr>Table6B</vt:lpstr>
      <vt:lpstr>Table7</vt:lpstr>
      <vt:lpstr>Table8A</vt:lpstr>
      <vt:lpstr>Table8B</vt:lpstr>
      <vt:lpstr>Table9</vt:lpstr>
      <vt:lpstr>Annex1</vt:lpstr>
      <vt:lpstr>Annex2</vt:lpstr>
      <vt:lpstr>Consolidation Checks</vt:lpstr>
      <vt:lpstr>OtherThanCashData Checks Report</vt:lpstr>
      <vt:lpstr>Cash Data Checks Report</vt:lpstr>
      <vt:lpstr>Report Form</vt:lpstr>
      <vt:lpstr>Annex1!Área_de_impresión</vt:lpstr>
      <vt:lpstr>Annex2!Área_de_impresión</vt:lpstr>
      <vt:lpstr>'Cash Data Checks Report'!Área_de_impresión</vt:lpstr>
      <vt:lpstr>Coverpage!Área_de_impresión</vt:lpstr>
      <vt:lpstr>'OtherThanCashData Checks Report'!Área_de_impresión</vt:lpstr>
      <vt:lpstr>StatementI!Área_de_impresión</vt:lpstr>
      <vt:lpstr>StatementII!Área_de_impresión</vt:lpstr>
      <vt:lpstr>StatementIII!Área_de_impresión</vt:lpstr>
      <vt:lpstr>StatementIV!Área_de_impresión</vt:lpstr>
      <vt:lpstr>Table1!Área_de_impresión</vt:lpstr>
      <vt:lpstr>Table2!Área_de_impresión</vt:lpstr>
      <vt:lpstr>Table3!Área_de_impresión</vt:lpstr>
      <vt:lpstr>Table4!Área_de_impresión</vt:lpstr>
      <vt:lpstr>Table5!Área_de_impresión</vt:lpstr>
      <vt:lpstr>Table6!Área_de_impresión</vt:lpstr>
      <vt:lpstr>Table6A!Área_de_impresión</vt:lpstr>
      <vt:lpstr>Table6B!Área_de_impresión</vt:lpstr>
      <vt:lpstr>Table7!Área_de_impresión</vt:lpstr>
      <vt:lpstr>Table8A!Área_de_impresión</vt:lpstr>
      <vt:lpstr>Table8B!Área_de_impresión</vt:lpstr>
      <vt:lpstr>Table9!Área_de_impresión</vt:lpstr>
      <vt:lpstr>DATA_ANNEX_1</vt:lpstr>
      <vt:lpstr>DATA_STATEMENT_II</vt:lpstr>
      <vt:lpstr>DATA_TABLE_1</vt:lpstr>
      <vt:lpstr>DATA_TABLE_2</vt:lpstr>
      <vt:lpstr>DATA_TABLE_3</vt:lpstr>
      <vt:lpstr>DATA_TABLE_4</vt:lpstr>
      <vt:lpstr>DATA_TABLE_5</vt:lpstr>
      <vt:lpstr>DATA_TABLE_6</vt:lpstr>
      <vt:lpstr>DATA_TABLE_6A</vt:lpstr>
      <vt:lpstr>DATA_TABLE_6B</vt:lpstr>
      <vt:lpstr>DATA_TABLE_7</vt:lpstr>
      <vt:lpstr>DATA_TABLE_8A</vt:lpstr>
      <vt:lpstr>DATA_TABLE_8B</vt:lpstr>
      <vt:lpstr>DATA_TABLE_9</vt:lpstr>
      <vt:lpstr>METADATA_COVERPAGE_1</vt:lpstr>
      <vt:lpstr>METADATA_COVERPAGE_2</vt:lpstr>
      <vt:lpstr>Report_Version_Number</vt:lpstr>
      <vt:lpstr>Report_Version_Tag</vt:lpstr>
      <vt:lpstr>Reporting_Alternate_Sender_Email</vt:lpstr>
      <vt:lpstr>Reporting_Alternate_Sender_Name</vt:lpstr>
      <vt:lpstr>Reporting_Compiling_Organization</vt:lpstr>
      <vt:lpstr>Reporting_Country_Code</vt:lpstr>
      <vt:lpstr>Reporting_Country_Fiscal_End_Day</vt:lpstr>
      <vt:lpstr>Reporting_Country_Fiscal_End_Month</vt:lpstr>
      <vt:lpstr>Reporting_Country_Name</vt:lpstr>
      <vt:lpstr>Reporting_Currency_Blank</vt:lpstr>
      <vt:lpstr>Reporting_Currency_Code</vt:lpstr>
      <vt:lpstr>Reporting_Currency_Name</vt:lpstr>
      <vt:lpstr>Reporting_Date</vt:lpstr>
      <vt:lpstr>Reporting_Period_Code</vt:lpstr>
      <vt:lpstr>Reporting_Period_Std_Code</vt:lpstr>
      <vt:lpstr>Reporting_Scale_Name</vt:lpstr>
      <vt:lpstr>Reporting_Sender_Email</vt:lpstr>
      <vt:lpstr>Reporting_Sender_Name</vt:lpstr>
      <vt:lpstr>Annex1!Títulos_a_imprimir</vt:lpstr>
      <vt:lpstr>StatementI!Títulos_a_imprimir</vt:lpstr>
      <vt:lpstr>StatementII!Títulos_a_imprimir</vt:lpstr>
      <vt:lpstr>StatementIV!Títulos_a_imprimir</vt:lpstr>
      <vt:lpstr>Table1!Títulos_a_imprimir</vt:lpstr>
      <vt:lpstr>Table2!Títulos_a_imprimir</vt:lpstr>
      <vt:lpstr>Table3!Títulos_a_imprimir</vt:lpstr>
      <vt:lpstr>Table4!Títulos_a_imprimir</vt:lpstr>
      <vt:lpstr>Table5!Títulos_a_imprimir</vt:lpstr>
      <vt:lpstr>Table6!Títulos_a_imprimir</vt:lpstr>
      <vt:lpstr>Table6A!Títulos_a_imprimir</vt:lpstr>
      <vt:lpstr>Table7!Títulos_a_imprimir</vt:lpstr>
      <vt:lpstr>Table9!Títulos_a_imprimir</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GFSYQ_GFSM2014_Template - English</dc:title>
  <dc:creator>Dopuch, Nicholas</dc:creator>
  <cp:lastModifiedBy>Camilo Alejandro Aguirre Matallana</cp:lastModifiedBy>
  <dcterms:created xsi:type="dcterms:W3CDTF">2016-10-19T18:30:59Z</dcterms:created>
  <dcterms:modified xsi:type="dcterms:W3CDTF">2017-10-13T20:20:44Z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MSClassification">
    <vt:lpwstr>1</vt:lpwstr>
  </property>
  <property fmtid="{D5CDD505-2E9C-101B-9397-08002B2CF9AE}" pid="3" name="MMSTopics">
    <vt:lpwstr/>
  </property>
  <property fmtid="{D5CDD505-2E9C-101B-9397-08002B2CF9AE}" pid="4" name="ContentTypeId">
    <vt:lpwstr>0x010100004051DBB1F74988811B5A3CCD41AD5E00B0718663D3B14466BB7828D11E87E1AE006186CE14888FCD4EA225B0DE96BE31B1</vt:lpwstr>
  </property>
  <property fmtid="{D5CDD505-2E9C-101B-9397-08002B2CF9AE}" pid="5" name="MMSDepartments">
    <vt:lpwstr>13</vt:lpwstr>
  </property>
  <property fmtid="{D5CDD505-2E9C-101B-9397-08002B2CF9AE}" pid="6" name="MMSCountries">
    <vt:lpwstr/>
  </property>
  <property fmtid="{D5CDD505-2E9C-101B-9397-08002B2CF9AE}" pid="7" name="_NewReviewCycle">
    <vt:lpwstr/>
  </property>
</Properties>
</file>